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chcnty1\anniemi\desktop\YearYear\"/>
    </mc:Choice>
  </mc:AlternateContent>
  <xr:revisionPtr revIDLastSave="0" documentId="13_ncr:1_{23C0ABD5-85BA-4E8E-B135-7A286A4D72E8}" xr6:coauthVersionLast="47" xr6:coauthVersionMax="47" xr10:uidLastSave="{00000000-0000-0000-0000-000000000000}"/>
  <workbookProtection workbookAlgorithmName="SHA-512" workbookHashValue="ax3p7GcardboRv2cN6vkAZWH9ho/Kq84PSRUsvZhB5YMmte53w7gT5AbwDYWybrFv711a05WDWkJwreiwprfiw==" workbookSaltValue="mpNvawkJdcmosfltTetZKg==" workbookSpinCount="100000" lockStructure="1"/>
  <bookViews>
    <workbookView xWindow="28680" yWindow="-120" windowWidth="29040" windowHeight="15720" xr2:uid="{5C8C238F-5F00-4A0F-A148-258468A9EA06}"/>
  </bookViews>
  <sheets>
    <sheet name="Year Over Year Change" sheetId="58" r:id="rId1"/>
    <sheet name="_TCA2026" sheetId="63" state="hidden" r:id="rId2"/>
    <sheet name="_TCA2025" sheetId="62" state="hidden" r:id="rId3"/>
    <sheet name="_TY2026_Increase" sheetId="64" state="hidden" r:id="rId4"/>
  </sheets>
  <definedNames>
    <definedName name="_TCA2025" localSheetId="3">_TY2026_Increase!$A$3:$T$25</definedName>
    <definedName name="_TCA2025">_TCA2025!$A$3:$V$25</definedName>
    <definedName name="_TCA2026">_TCA2026!$A$3:$T$25</definedName>
    <definedName name="_TY2026_Increase">_TY2026_Increase!$A$3:$T$25</definedName>
    <definedName name="Print">'Year Over Year Change'!$A$1:$I$34</definedName>
    <definedName name="_xlnm.Print_Area" localSheetId="0">'Year Over Year Change'!$A$1:$I$33</definedName>
    <definedName name="PRIORITY1">#N/A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4" i="58" l="1"/>
  <c r="H17" i="58"/>
  <c r="I17" i="58" s="1"/>
  <c r="H32" i="58"/>
  <c r="H31" i="58"/>
  <c r="H30" i="58"/>
  <c r="H29" i="58"/>
  <c r="H25" i="58"/>
  <c r="I25" i="58" s="1"/>
  <c r="T26" i="64"/>
  <c r="S26" i="64"/>
  <c r="R26" i="64"/>
  <c r="Q26" i="64"/>
  <c r="P26" i="64"/>
  <c r="O26" i="64"/>
  <c r="B32" i="58"/>
  <c r="B31" i="58"/>
  <c r="B30" i="58"/>
  <c r="B29" i="58"/>
  <c r="B28" i="58"/>
  <c r="B27" i="58"/>
  <c r="B26" i="58"/>
  <c r="B25" i="58"/>
  <c r="C25" i="58" s="1"/>
  <c r="B24" i="58"/>
  <c r="B23" i="58"/>
  <c r="B22" i="58"/>
  <c r="B21" i="58"/>
  <c r="B20" i="58"/>
  <c r="B19" i="58"/>
  <c r="B18" i="58"/>
  <c r="B17" i="58"/>
  <c r="B16" i="58"/>
  <c r="D26" i="58"/>
  <c r="B15" i="58" l="1"/>
  <c r="D25" i="58"/>
  <c r="F25" i="58" s="1"/>
  <c r="T26" i="62"/>
  <c r="V25" i="63"/>
  <c r="V24" i="63"/>
  <c r="V23" i="63"/>
  <c r="V22" i="63"/>
  <c r="V21" i="63"/>
  <c r="V20" i="63"/>
  <c r="V19" i="63"/>
  <c r="V18" i="63"/>
  <c r="V17" i="63"/>
  <c r="V16" i="63"/>
  <c r="V15" i="63"/>
  <c r="V14" i="63"/>
  <c r="V13" i="63"/>
  <c r="V12" i="63"/>
  <c r="V11" i="63"/>
  <c r="V10" i="63"/>
  <c r="V9" i="63"/>
  <c r="V8" i="63"/>
  <c r="V7" i="63"/>
  <c r="V6" i="63"/>
  <c r="E25" i="58" l="1"/>
  <c r="G25" i="58" s="1"/>
  <c r="F29" i="63"/>
  <c r="U25" i="63"/>
  <c r="U24" i="63"/>
  <c r="U23" i="63"/>
  <c r="U22" i="63"/>
  <c r="U21" i="63"/>
  <c r="U20" i="63"/>
  <c r="U19" i="63"/>
  <c r="U18" i="63"/>
  <c r="U17" i="63"/>
  <c r="U16" i="63"/>
  <c r="U15" i="63"/>
  <c r="U14" i="63"/>
  <c r="U13" i="63"/>
  <c r="U12" i="63"/>
  <c r="U11" i="63"/>
  <c r="U10" i="63"/>
  <c r="U9" i="63"/>
  <c r="U8" i="63"/>
  <c r="U7" i="63"/>
  <c r="U6" i="63"/>
  <c r="D16" i="58" l="1"/>
  <c r="D32" i="58"/>
  <c r="D31" i="58"/>
  <c r="D30" i="58"/>
  <c r="D29" i="58"/>
  <c r="D28" i="58"/>
  <c r="D27" i="58"/>
  <c r="D24" i="58"/>
  <c r="D23" i="58"/>
  <c r="D22" i="58"/>
  <c r="D21" i="58"/>
  <c r="D20" i="58"/>
  <c r="D19" i="58"/>
  <c r="D18" i="58"/>
  <c r="D17" i="58"/>
  <c r="D15" i="58"/>
  <c r="E15" i="58" s="1"/>
  <c r="H26" i="58"/>
  <c r="H24" i="58"/>
  <c r="H28" i="58" l="1"/>
  <c r="H27" i="58"/>
  <c r="I24" i="58"/>
  <c r="H23" i="58"/>
  <c r="H22" i="58"/>
  <c r="H21" i="58"/>
  <c r="H20" i="58"/>
  <c r="H19" i="58"/>
  <c r="H18" i="58"/>
  <c r="I18" i="58" s="1"/>
  <c r="H16" i="58"/>
  <c r="H15" i="58"/>
  <c r="B26" i="64"/>
  <c r="C26" i="64" s="1"/>
  <c r="D26" i="64" s="1"/>
  <c r="E26" i="64" s="1"/>
  <c r="F26" i="64" s="1"/>
  <c r="G26" i="64" s="1"/>
  <c r="H26" i="64" s="1"/>
  <c r="I26" i="64" s="1"/>
  <c r="J26" i="64" s="1"/>
  <c r="K26" i="64" s="1"/>
  <c r="L26" i="64" s="1"/>
  <c r="M26" i="64" s="1"/>
  <c r="N26" i="64" s="1"/>
  <c r="V27" i="63" l="1"/>
  <c r="U27" i="63"/>
  <c r="T27" i="63"/>
  <c r="S27" i="63"/>
  <c r="R27" i="63"/>
  <c r="Q27" i="63"/>
  <c r="O27" i="63"/>
  <c r="N27" i="63"/>
  <c r="M27" i="63"/>
  <c r="L27" i="63"/>
  <c r="K27" i="63"/>
  <c r="J27" i="63"/>
  <c r="I27" i="63"/>
  <c r="H27" i="63"/>
  <c r="G27" i="63"/>
  <c r="F27" i="63"/>
  <c r="E27" i="63"/>
  <c r="D27" i="63"/>
  <c r="C27" i="63"/>
  <c r="B27" i="63"/>
  <c r="A27" i="63"/>
  <c r="C32" i="58"/>
  <c r="B26" i="62" l="1"/>
  <c r="C26" i="62" s="1"/>
  <c r="D26" i="62" s="1"/>
  <c r="E26" i="62" s="1"/>
  <c r="F26" i="62" s="1"/>
  <c r="G26" i="62" s="1"/>
  <c r="H26" i="62" s="1"/>
  <c r="I26" i="62" s="1"/>
  <c r="J26" i="62" s="1"/>
  <c r="K26" i="62" s="1"/>
  <c r="L26" i="62" s="1"/>
  <c r="M26" i="62" s="1"/>
  <c r="N26" i="62" s="1"/>
  <c r="O26" i="62" s="1"/>
  <c r="P26" i="62" s="1"/>
  <c r="Q26" i="62" s="1"/>
  <c r="R26" i="62" s="1"/>
  <c r="S26" i="62" l="1"/>
  <c r="C16" i="58"/>
  <c r="E27" i="58"/>
  <c r="E28" i="58"/>
  <c r="E31" i="58"/>
  <c r="E32" i="58"/>
  <c r="E30" i="58"/>
  <c r="C30" i="58"/>
  <c r="E29" i="58"/>
  <c r="C28" i="58"/>
  <c r="E23" i="58"/>
  <c r="E22" i="58"/>
  <c r="E21" i="58"/>
  <c r="E19" i="58"/>
  <c r="E18" i="58"/>
  <c r="E17" i="58"/>
  <c r="C26" i="58"/>
  <c r="C24" i="58"/>
  <c r="C23" i="58"/>
  <c r="C22" i="58"/>
  <c r="C21" i="58"/>
  <c r="C20" i="58"/>
  <c r="C19" i="58"/>
  <c r="C18" i="58"/>
  <c r="C17" i="58"/>
  <c r="E24" i="58"/>
  <c r="G18" i="58" l="1"/>
  <c r="G22" i="58"/>
  <c r="F27" i="58"/>
  <c r="F31" i="58"/>
  <c r="G23" i="58"/>
  <c r="G19" i="58"/>
  <c r="G24" i="58"/>
  <c r="F26" i="58"/>
  <c r="F29" i="58"/>
  <c r="F17" i="58"/>
  <c r="F18" i="58"/>
  <c r="F21" i="58"/>
  <c r="F22" i="58"/>
  <c r="E26" i="58"/>
  <c r="G26" i="58" s="1"/>
  <c r="G28" i="58"/>
  <c r="C29" i="58"/>
  <c r="G29" i="58" s="1"/>
  <c r="G32" i="58"/>
  <c r="F16" i="58"/>
  <c r="F20" i="58"/>
  <c r="F19" i="58"/>
  <c r="F23" i="58"/>
  <c r="C27" i="58"/>
  <c r="G27" i="58" s="1"/>
  <c r="G30" i="58"/>
  <c r="C31" i="58"/>
  <c r="G31" i="58" s="1"/>
  <c r="G17" i="58"/>
  <c r="G21" i="58"/>
  <c r="E16" i="58"/>
  <c r="G16" i="58" s="1"/>
  <c r="F30" i="58"/>
  <c r="F32" i="58"/>
  <c r="E20" i="58"/>
  <c r="G20" i="58" s="1"/>
  <c r="F28" i="58"/>
  <c r="F24" i="58"/>
  <c r="F7" i="58" l="1"/>
  <c r="F8" i="58" s="1"/>
  <c r="I32" i="58" l="1"/>
  <c r="I31" i="58"/>
  <c r="I30" i="58"/>
  <c r="I29" i="58"/>
  <c r="I28" i="58"/>
  <c r="J28" i="58" s="1"/>
  <c r="I27" i="58"/>
  <c r="J27" i="58" s="1"/>
  <c r="I26" i="58"/>
  <c r="J26" i="58" s="1"/>
  <c r="I23" i="58"/>
  <c r="J23" i="58" s="1"/>
  <c r="I22" i="58"/>
  <c r="J22" i="58" s="1"/>
  <c r="I21" i="58"/>
  <c r="J21" i="58" s="1"/>
  <c r="I20" i="58"/>
  <c r="J20" i="58" s="1"/>
  <c r="I19" i="58"/>
  <c r="J18" i="58"/>
  <c r="J17" i="58"/>
  <c r="I15" i="58" l="1"/>
  <c r="J15" i="58" s="1"/>
  <c r="I16" i="58" l="1"/>
  <c r="J16" i="58" s="1"/>
  <c r="J32" i="58" l="1"/>
  <c r="D33" i="58"/>
  <c r="E33" i="58" l="1"/>
  <c r="J29" i="58" l="1"/>
  <c r="J31" i="58"/>
  <c r="J19" i="58"/>
  <c r="J30" i="58"/>
  <c r="J24" i="58" l="1"/>
  <c r="J33" i="58" s="1"/>
  <c r="C15" i="58" l="1"/>
  <c r="F15" i="58"/>
  <c r="G15" i="58" l="1"/>
  <c r="B33" i="58" l="1"/>
  <c r="F33" i="58"/>
  <c r="C33" i="58" l="1"/>
  <c r="G33" i="5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Annie Minich</author>
  </authors>
  <commentList>
    <comment ref="B2" authorId="0" shapeId="0" xr:uid="{A42A1A2E-770F-4F07-BF02-BF8778FC3502}">
      <text>
        <r>
          <rPr>
            <sz val="9"/>
            <color indexed="81"/>
            <rFont val="Tahoma"/>
            <family val="2"/>
          </rPr>
          <t>Assessment districts are formed to provide a specific service or benefit to lands contained within its boundaries. They are empowered to impose an assessment to fund district operations or to fund projects that fulfill the purpose for which the district was formed. (Examples of assessment districts include: noxious weed board, on-site sewage O&amp;M, clean water utility base fee, forest fire protection)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John Kulseth</author>
  </authors>
  <commentList>
    <comment ref="E3" authorId="0" shapeId="0" xr:uid="{6E64804F-F3B8-45BD-BA15-C384E85A6FE8}">
      <text>
        <r>
          <rPr>
            <b/>
            <sz val="9"/>
            <color indexed="81"/>
            <rFont val="Tahoma"/>
            <family val="2"/>
          </rPr>
          <t>John Kulseth:</t>
        </r>
        <r>
          <rPr>
            <sz val="9"/>
            <color indexed="81"/>
            <rFont val="Tahoma"/>
            <family val="2"/>
          </rPr>
          <t xml:space="preserve">
Consider combining all school levies in one column</t>
        </r>
      </text>
    </comment>
    <comment ref="H6" authorId="0" shapeId="0" xr:uid="{5DDE15C9-DB58-465B-A475-F5569E8C8630}">
      <text>
        <r>
          <rPr>
            <b/>
            <sz val="9"/>
            <color indexed="81"/>
            <rFont val="Tahoma"/>
            <family val="2"/>
          </rPr>
          <t>John Kulseth:</t>
        </r>
        <r>
          <rPr>
            <sz val="9"/>
            <color indexed="81"/>
            <rFont val="Tahoma"/>
            <family val="2"/>
          </rPr>
          <t xml:space="preserve">
County Current plus shift rate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 Kulseth</author>
  </authors>
  <commentList>
    <comment ref="E3" authorId="0" shapeId="0" xr:uid="{99283863-5EEA-45FF-80D3-8D85803675A5}">
      <text>
        <r>
          <rPr>
            <b/>
            <sz val="9"/>
            <color indexed="81"/>
            <rFont val="Tahoma"/>
            <family val="2"/>
          </rPr>
          <t>John Kulseth:</t>
        </r>
        <r>
          <rPr>
            <sz val="9"/>
            <color indexed="81"/>
            <rFont val="Tahoma"/>
            <family val="2"/>
          </rPr>
          <t xml:space="preserve">
Consider combining all school levies in one column</t>
        </r>
      </text>
    </comment>
    <comment ref="H6" authorId="0" shapeId="0" xr:uid="{3B01B15A-911F-4B29-851F-B15500682304}">
      <text>
        <r>
          <rPr>
            <b/>
            <sz val="9"/>
            <color indexed="81"/>
            <rFont val="Tahoma"/>
            <family val="2"/>
          </rPr>
          <t>John Kulseth:</t>
        </r>
        <r>
          <rPr>
            <sz val="9"/>
            <color indexed="81"/>
            <rFont val="Tahoma"/>
            <family val="2"/>
          </rPr>
          <t xml:space="preserve">
County Current plus shift rate</t>
        </r>
      </text>
    </comment>
  </commentList>
</comments>
</file>

<file path=xl/sharedStrings.xml><?xml version="1.0" encoding="utf-8"?>
<sst xmlns="http://schemas.openxmlformats.org/spreadsheetml/2006/main" count="279" uniqueCount="126">
  <si>
    <t>Total</t>
  </si>
  <si>
    <t>Conservation Futures</t>
  </si>
  <si>
    <t>Lopez Solid Waste Disposal</t>
  </si>
  <si>
    <t>Town of Friday Harbor</t>
  </si>
  <si>
    <t>Port Districts</t>
  </si>
  <si>
    <t>Fire Districts</t>
  </si>
  <si>
    <t>Cemetery Districts</t>
  </si>
  <si>
    <t>Library Districts</t>
  </si>
  <si>
    <t>State Levy Part 1</t>
  </si>
  <si>
    <t>Levy Rate</t>
  </si>
  <si>
    <t>Cemetery District #3 - Orcas</t>
  </si>
  <si>
    <t>San Juan</t>
  </si>
  <si>
    <t>Excess State Levy Part 2</t>
  </si>
  <si>
    <t>County Roads</t>
  </si>
  <si>
    <t>Orcas</t>
  </si>
  <si>
    <t>Lopez</t>
  </si>
  <si>
    <t>Friday Harbor</t>
  </si>
  <si>
    <t>Fire District #4 - Lopez</t>
  </si>
  <si>
    <t>EMS</t>
  </si>
  <si>
    <t>Taxing Districts</t>
  </si>
  <si>
    <t>Schools</t>
  </si>
  <si>
    <t>Orcas Enrichment</t>
  </si>
  <si>
    <t>Orcas Bond</t>
  </si>
  <si>
    <t>Lopez Enrichment</t>
  </si>
  <si>
    <t>Lopez Bond</t>
  </si>
  <si>
    <t>San Juan Enrichment</t>
  </si>
  <si>
    <t>San Juan Capital Project</t>
  </si>
  <si>
    <t>Fire District #5 - Shaw</t>
  </si>
  <si>
    <t xml:space="preserve">Fire District #2 - Orcas </t>
  </si>
  <si>
    <t xml:space="preserve">Fire District #3 - San Juan </t>
  </si>
  <si>
    <t>Shaw</t>
  </si>
  <si>
    <t>Lopez Fire EMS</t>
  </si>
  <si>
    <t>Tax Code Area</t>
  </si>
  <si>
    <t>Island</t>
  </si>
  <si>
    <t>State Levy         Part 1</t>
  </si>
  <si>
    <t>Local School   Enrichment</t>
  </si>
  <si>
    <t>Town</t>
  </si>
  <si>
    <t>Solid Waste Disposal</t>
  </si>
  <si>
    <t>TOTAL RATE</t>
  </si>
  <si>
    <t>Senior Citizen Rate</t>
  </si>
  <si>
    <t>Waldron</t>
  </si>
  <si>
    <t>Orcas Islands</t>
  </si>
  <si>
    <t>Orcas Cem</t>
  </si>
  <si>
    <t>Orcas Isles</t>
  </si>
  <si>
    <t>Blakely</t>
  </si>
  <si>
    <t>Decatur</t>
  </si>
  <si>
    <t>Lopez Islands</t>
  </si>
  <si>
    <t>Lopez Sewer</t>
  </si>
  <si>
    <t>San Juan Islands</t>
  </si>
  <si>
    <t>Cape San Juan</t>
  </si>
  <si>
    <t>San Juan South</t>
  </si>
  <si>
    <t>Cattle Point</t>
  </si>
  <si>
    <t xml:space="preserve">Not included for the property owners that participate in the Senior Citizens and People with Disabilities Tax Relief Program. </t>
  </si>
  <si>
    <t>Local School Bond</t>
  </si>
  <si>
    <t>Local School Cap Proj</t>
  </si>
  <si>
    <t>Local School Capital Projects</t>
  </si>
  <si>
    <t>Local School - Enrichment</t>
  </si>
  <si>
    <t>Property Assessment</t>
  </si>
  <si>
    <t>Note</t>
  </si>
  <si>
    <t>Year Over Year Change</t>
  </si>
  <si>
    <t>Map of Tax Code Area</t>
  </si>
  <si>
    <t>User Input</t>
  </si>
  <si>
    <t>Year Over Year Change in Levy Rate and Amount</t>
  </si>
  <si>
    <t>Port District</t>
  </si>
  <si>
    <t>Cemetery District</t>
  </si>
  <si>
    <t>Library District</t>
  </si>
  <si>
    <t>Park &amp; Rec District</t>
  </si>
  <si>
    <t>Hospital District</t>
  </si>
  <si>
    <t>State School Levy - Part 1</t>
  </si>
  <si>
    <t>State School Levy - Part 2</t>
  </si>
  <si>
    <t>Levy Amount</t>
  </si>
  <si>
    <t>Rate Change</t>
  </si>
  <si>
    <t>Amount Change</t>
  </si>
  <si>
    <t xml:space="preserve">NOTE: This spreadsheet calculates tax amount only. The amount does not include assessment district fees. </t>
  </si>
  <si>
    <t xml:space="preserve">If you have an tax exemption, this spreadsheet is not applicable. </t>
  </si>
  <si>
    <t>County General</t>
  </si>
  <si>
    <t>Cons  Futures</t>
  </si>
  <si>
    <t>County Road</t>
  </si>
  <si>
    <t>Port</t>
  </si>
  <si>
    <t>Cemetery</t>
  </si>
  <si>
    <t>Library</t>
  </si>
  <si>
    <t>Fire</t>
  </si>
  <si>
    <t>Hospital</t>
  </si>
  <si>
    <t xml:space="preserve"> Park &amp; Rec</t>
  </si>
  <si>
    <t xml:space="preserve"> </t>
  </si>
  <si>
    <t>Johns, Spieden</t>
  </si>
  <si>
    <t>Pearl, Brown</t>
  </si>
  <si>
    <t>Stewart Cem</t>
  </si>
  <si>
    <t>Defined Area - _TCA2025</t>
  </si>
  <si>
    <t>San Juan County
2025 Tax Levies by Tax Code Areas and Taxing Districts</t>
  </si>
  <si>
    <t>State Levy Part 2</t>
  </si>
  <si>
    <t>Orcas Capital Projects</t>
  </si>
  <si>
    <t>Lopez Capital Projects</t>
  </si>
  <si>
    <t>Current Expense</t>
  </si>
  <si>
    <t>Veteran's Relief *</t>
  </si>
  <si>
    <t>Mental Health *</t>
  </si>
  <si>
    <t xml:space="preserve">Cemetery District #1 - San Juan </t>
  </si>
  <si>
    <t>Park &amp; Rec</t>
  </si>
  <si>
    <t xml:space="preserve">San Juan </t>
  </si>
  <si>
    <t xml:space="preserve">Orcas </t>
  </si>
  <si>
    <t>Hospital District #1 - San Juan</t>
  </si>
  <si>
    <t>Hospital District #2 - Lopez</t>
  </si>
  <si>
    <t>Hospital District #3 - Orcas</t>
  </si>
  <si>
    <t>San Juan Hospital EMS</t>
  </si>
  <si>
    <t>2024 Assessment for Tax Year 2025</t>
  </si>
  <si>
    <t>Tax Year 2025</t>
  </si>
  <si>
    <t>Land Conservation Futures</t>
  </si>
  <si>
    <t>Defined Area - _TY2025_Increase</t>
  </si>
  <si>
    <t>County General (Current Exp)</t>
  </si>
  <si>
    <t>Banked Capacity *</t>
  </si>
  <si>
    <r>
      <rPr>
        <b/>
        <i/>
        <sz val="16"/>
        <color rgb="FFFF0000"/>
        <rFont val="Calibri"/>
        <family val="2"/>
        <scheme val="minor"/>
      </rPr>
      <t xml:space="preserve">User input. </t>
    </r>
    <r>
      <rPr>
        <b/>
        <i/>
        <sz val="16"/>
        <color rgb="FF0070C0"/>
        <rFont val="Calibri"/>
        <family val="2"/>
        <scheme val="minor"/>
      </rPr>
      <t>For your Tax Code Area, please reference your Notice of Value, Tax Statement or the map.</t>
    </r>
  </si>
  <si>
    <t>Percent Change</t>
  </si>
  <si>
    <t>Voter Approved Increase</t>
  </si>
  <si>
    <t>2025 Assessment for Tax Year 2026</t>
  </si>
  <si>
    <t>Fire Protection District - Levy</t>
  </si>
  <si>
    <t>San Juan County
2026 Tax Levies by Tax Code Areas and Taxing Districts</t>
  </si>
  <si>
    <t>Defined Area - _TCA2026</t>
  </si>
  <si>
    <t>Fire - Bond</t>
  </si>
  <si>
    <t>Fire - Levy</t>
  </si>
  <si>
    <t>Fire Protection District - Bond</t>
  </si>
  <si>
    <t>Fire Bond</t>
  </si>
  <si>
    <t>Tax Year 2026</t>
  </si>
  <si>
    <t>2025 Voter Approved Increase</t>
  </si>
  <si>
    <t>San Juan County - Parcel Search</t>
  </si>
  <si>
    <t xml:space="preserve">For the 2025 and 2024 Assessments, (1) reference your 2025 Notice of Value or (2) go to the San Juan County Assessor website -&gt; Parcel Search -&gt; look at Roll Value History. The link to Parcel Search is below. 
</t>
  </si>
  <si>
    <t>Levy Amount Percent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</si>
</sst>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0.0000000000"/>
    <numFmt numFmtId="166" formatCode="0.00000_)"/>
    <numFmt numFmtId="167" formatCode="0.00000"/>
  </numFmts>
  <fonts count="37">
    <font>
      <sz val="11"/>
      <color theme="1"/>
      <name val="Calibri"/>
      <family val="2"/>
      <scheme val="minor"/>
    </font>
    <font>
      <sz val="11"/>
      <color theme="1"/>
      <name val="Calibri"/>
      <family val="2"/>
      <scheme val="minor"/>
    </font>
    <font>
      <sz val="10"/>
      <name val="Arial"/>
      <family val="2"/>
    </font>
    <font>
      <b/>
      <sz val="14"/>
      <color theme="1"/>
      <name val="Calibri"/>
      <family val="2"/>
      <scheme val="minor"/>
    </font>
    <font>
      <sz val="12"/>
      <color theme="1"/>
      <name val="Calibri"/>
      <family val="2"/>
      <scheme val="minor"/>
    </font>
    <font>
      <sz val="10"/>
      <name val="Arial"/>
      <family val="2"/>
    </font>
    <font>
      <sz val="12"/>
      <name val="Arial MT"/>
    </font>
    <font>
      <sz val="10"/>
      <name val="Bookman Old Style"/>
      <family val="1"/>
    </font>
    <font>
      <sz val="11"/>
      <name val="Calibri"/>
      <family val="2"/>
    </font>
    <font>
      <sz val="11"/>
      <name val="Calibri"/>
      <family val="2"/>
    </font>
    <font>
      <sz val="10"/>
      <name val="Arial"/>
      <family val="2"/>
    </font>
    <font>
      <b/>
      <sz val="16"/>
      <name val="Arial"/>
      <family val="2"/>
    </font>
    <font>
      <sz val="16"/>
      <name val="Arial"/>
      <family val="2"/>
    </font>
    <font>
      <b/>
      <sz val="11"/>
      <name val="Bookman Old Style"/>
      <family val="1"/>
    </font>
    <font>
      <sz val="11"/>
      <name val="Bookman Old Style"/>
      <family val="1"/>
    </font>
    <font>
      <sz val="9"/>
      <name val="Bookman Old Style"/>
      <family val="1"/>
    </font>
    <font>
      <sz val="11"/>
      <color theme="1"/>
      <name val="Calibri Light"/>
      <family val="2"/>
      <scheme val="major"/>
    </font>
    <font>
      <b/>
      <sz val="26"/>
      <name val="Bookman Old Style"/>
      <family val="1"/>
    </font>
    <font>
      <b/>
      <sz val="11"/>
      <color theme="1"/>
      <name val="Calibri Light"/>
      <family val="2"/>
      <scheme val="major"/>
    </font>
    <font>
      <b/>
      <sz val="12"/>
      <color theme="1"/>
      <name val="Calibri"/>
      <family val="2"/>
      <scheme val="minor"/>
    </font>
    <font>
      <b/>
      <sz val="14"/>
      <color theme="1"/>
      <name val="Calibri Light"/>
      <family val="2"/>
      <scheme val="major"/>
    </font>
    <font>
      <b/>
      <sz val="16"/>
      <color theme="1"/>
      <name val="Calibri Light"/>
      <family val="2"/>
      <scheme val="major"/>
    </font>
    <font>
      <b/>
      <sz val="16"/>
      <color theme="1"/>
      <name val="Calibri"/>
      <family val="2"/>
      <scheme val="minor"/>
    </font>
    <font>
      <b/>
      <sz val="12"/>
      <name val="Calibri Light"/>
      <family val="2"/>
      <scheme val="major"/>
    </font>
    <font>
      <sz val="16"/>
      <color theme="1"/>
      <name val="Calibri"/>
      <family val="2"/>
      <scheme val="minor"/>
    </font>
    <font>
      <b/>
      <i/>
      <sz val="14"/>
      <color theme="4"/>
      <name val="Calibri"/>
      <family val="2"/>
      <scheme val="minor"/>
    </font>
    <font>
      <b/>
      <i/>
      <sz val="12"/>
      <color rgb="FF0070C0"/>
      <name val="Calibri"/>
      <family val="2"/>
      <scheme val="minor"/>
    </font>
    <font>
      <u/>
      <sz val="11"/>
      <color theme="10"/>
      <name val="Calibri"/>
      <family val="2"/>
      <scheme val="minor"/>
    </font>
    <font>
      <b/>
      <sz val="18"/>
      <color theme="1"/>
      <name val="Aharoni"/>
      <charset val="177"/>
    </font>
    <font>
      <b/>
      <sz val="12"/>
      <name val="Calibri"/>
      <family val="2"/>
      <scheme val="minor"/>
    </font>
    <font>
      <sz val="9"/>
      <color indexed="81"/>
      <name val="Tahoma"/>
      <family val="2"/>
    </font>
    <font>
      <b/>
      <sz val="9"/>
      <color indexed="81"/>
      <name val="Tahoma"/>
      <family val="2"/>
    </font>
    <font>
      <u/>
      <sz val="8"/>
      <color rgb="FF000000"/>
      <name val="Bookman Old Style"/>
      <family val="1"/>
    </font>
    <font>
      <sz val="8"/>
      <color rgb="FF000000"/>
      <name val="Bookman Old Style"/>
      <family val="1"/>
    </font>
    <font>
      <b/>
      <i/>
      <sz val="16"/>
      <color rgb="FFFF0000"/>
      <name val="Calibri"/>
      <family val="2"/>
      <scheme val="minor"/>
    </font>
    <font>
      <b/>
      <i/>
      <sz val="16"/>
      <color rgb="FF0070C0"/>
      <name val="Calibri"/>
      <family val="2"/>
      <scheme val="minor"/>
    </font>
    <font>
      <sz val="11"/>
      <name val="Calibri"/>
      <family val="2"/>
      <scheme val="minor"/>
    </font>
  </fonts>
  <fills count="15">
    <fill>
      <patternFill patternType="none"/>
    </fill>
    <fill>
      <patternFill patternType="gray125"/>
    </fill>
    <fill>
      <patternFill patternType="solid">
        <fgColor theme="5"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99"/>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5F5F5"/>
        <bgColor indexed="64"/>
      </patternFill>
    </fill>
    <fill>
      <patternFill patternType="solid">
        <fgColor rgb="FFF3F3F3"/>
        <bgColor indexed="64"/>
      </patternFill>
    </fill>
    <fill>
      <patternFill patternType="solid">
        <fgColor rgb="FFDDEBF7"/>
        <bgColor indexed="64"/>
      </patternFill>
    </fill>
  </fills>
  <borders count="4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ck">
        <color rgb="FFFF0000"/>
      </bottom>
      <diagonal/>
    </border>
    <border>
      <left style="thick">
        <color rgb="FFFF0000"/>
      </left>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medium">
        <color indexed="64"/>
      </right>
      <top style="thick">
        <color rgb="FFFF0000"/>
      </top>
      <bottom/>
      <diagonal/>
    </border>
    <border>
      <left style="medium">
        <color indexed="64"/>
      </left>
      <right/>
      <top style="thick">
        <color rgb="FFFF0000"/>
      </top>
      <bottom/>
      <diagonal/>
    </border>
    <border>
      <left/>
      <right style="thick">
        <color rgb="FFFF0000"/>
      </right>
      <top style="thick">
        <color rgb="FFFF0000"/>
      </top>
      <bottom style="thick">
        <color rgb="FFFF0000"/>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rgb="FFCCCCCC"/>
      </left>
      <right/>
      <top style="medium">
        <color rgb="FFC0C0C0"/>
      </top>
      <bottom style="medium">
        <color rgb="FFCCCCCC"/>
      </bottom>
      <diagonal/>
    </border>
    <border>
      <left/>
      <right/>
      <top style="medium">
        <color rgb="FFC0C0C0"/>
      </top>
      <bottom style="medium">
        <color rgb="FFCCCCCC"/>
      </bottom>
      <diagonal/>
    </border>
    <border>
      <left/>
      <right style="medium">
        <color rgb="FFCCCCCC"/>
      </right>
      <top style="medium">
        <color rgb="FFC0C0C0"/>
      </top>
      <bottom style="medium">
        <color rgb="FFCCCCCC"/>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s>
  <cellStyleXfs count="23">
    <xf numFmtId="0" fontId="0" fillId="0" borderId="0"/>
    <xf numFmtId="9" fontId="1"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0" fontId="6" fillId="0" borderId="0"/>
    <xf numFmtId="0" fontId="8"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9" fontId="6"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9" fillId="0" borderId="0"/>
    <xf numFmtId="0" fontId="10" fillId="0" borderId="0"/>
    <xf numFmtId="166" fontId="6" fillId="0" borderId="0"/>
    <xf numFmtId="0" fontId="27" fillId="0" borderId="0" applyNumberFormat="0" applyFill="0" applyBorder="0" applyAlignment="0" applyProtection="0"/>
  </cellStyleXfs>
  <cellXfs count="152">
    <xf numFmtId="0" fontId="0" fillId="0" borderId="0" xfId="0"/>
    <xf numFmtId="165" fontId="0" fillId="0" borderId="0" xfId="0" applyNumberFormat="1"/>
    <xf numFmtId="0" fontId="12" fillId="0" borderId="0" xfId="0" applyFont="1"/>
    <xf numFmtId="1" fontId="7" fillId="3" borderId="2" xfId="21" applyNumberFormat="1" applyFont="1" applyFill="1" applyBorder="1" applyAlignment="1">
      <alignment horizontal="center"/>
    </xf>
    <xf numFmtId="1" fontId="14" fillId="3" borderId="2" xfId="21" applyNumberFormat="1" applyFont="1" applyFill="1" applyBorder="1" applyAlignment="1">
      <alignment horizontal="center"/>
    </xf>
    <xf numFmtId="165" fontId="7" fillId="0" borderId="2" xfId="21" applyNumberFormat="1" applyFont="1" applyBorder="1" applyAlignment="1">
      <alignment horizontal="center"/>
    </xf>
    <xf numFmtId="165" fontId="7" fillId="5" borderId="2" xfId="21" applyNumberFormat="1" applyFont="1" applyFill="1" applyBorder="1" applyAlignment="1">
      <alignment horizontal="center"/>
    </xf>
    <xf numFmtId="167" fontId="7" fillId="5" borderId="2" xfId="21" applyNumberFormat="1" applyFont="1" applyFill="1" applyBorder="1" applyAlignment="1">
      <alignment horizontal="center"/>
    </xf>
    <xf numFmtId="167" fontId="7" fillId="0" borderId="2" xfId="21" applyNumberFormat="1" applyFont="1" applyBorder="1" applyAlignment="1">
      <alignment horizontal="center"/>
    </xf>
    <xf numFmtId="0" fontId="15" fillId="0" borderId="0" xfId="0" applyFont="1"/>
    <xf numFmtId="0" fontId="15" fillId="5" borderId="0" xfId="0" applyFont="1" applyFill="1"/>
    <xf numFmtId="0" fontId="14" fillId="0" borderId="0" xfId="0" applyFont="1" applyAlignment="1">
      <alignment horizontal="left" indent="1"/>
    </xf>
    <xf numFmtId="0" fontId="17" fillId="0" borderId="0" xfId="0" applyFont="1" applyAlignment="1">
      <alignment horizontal="center" vertical="center"/>
    </xf>
    <xf numFmtId="167" fontId="15" fillId="0" borderId="0" xfId="0" applyNumberFormat="1" applyFont="1"/>
    <xf numFmtId="167" fontId="7" fillId="4" borderId="2" xfId="21" applyNumberFormat="1" applyFont="1" applyFill="1" applyBorder="1" applyAlignment="1">
      <alignment horizontal="center"/>
    </xf>
    <xf numFmtId="0" fontId="22" fillId="6" borderId="27" xfId="0" applyFont="1" applyFill="1" applyBorder="1" applyProtection="1">
      <protection locked="0"/>
    </xf>
    <xf numFmtId="0" fontId="32" fillId="11" borderId="35" xfId="0" applyFont="1" applyFill="1" applyBorder="1" applyAlignment="1">
      <alignment horizontal="left" vertical="center" wrapText="1"/>
    </xf>
    <xf numFmtId="6" fontId="33" fillId="11" borderId="36" xfId="0" applyNumberFormat="1" applyFont="1" applyFill="1" applyBorder="1" applyAlignment="1">
      <alignment horizontal="center" vertical="center" wrapText="1"/>
    </xf>
    <xf numFmtId="0" fontId="33" fillId="11" borderId="36" xfId="0" applyFont="1" applyFill="1" applyBorder="1" applyAlignment="1">
      <alignment horizontal="center" vertical="center" wrapText="1"/>
    </xf>
    <xf numFmtId="8" fontId="33" fillId="11" borderId="37" xfId="0" applyNumberFormat="1" applyFont="1" applyFill="1" applyBorder="1" applyAlignment="1">
      <alignment horizontal="right" vertical="center" wrapText="1"/>
    </xf>
    <xf numFmtId="0" fontId="32" fillId="12" borderId="38" xfId="0" applyFont="1" applyFill="1" applyBorder="1" applyAlignment="1">
      <alignment horizontal="left" vertical="center" wrapText="1"/>
    </xf>
    <xf numFmtId="6" fontId="33" fillId="12" borderId="39" xfId="0" applyNumberFormat="1" applyFont="1" applyFill="1" applyBorder="1" applyAlignment="1">
      <alignment horizontal="center" vertical="center" wrapText="1"/>
    </xf>
    <xf numFmtId="0" fontId="33" fillId="12" borderId="39" xfId="0" applyFont="1" applyFill="1" applyBorder="1" applyAlignment="1">
      <alignment horizontal="center" vertical="center" wrapText="1"/>
    </xf>
    <xf numFmtId="8" fontId="33" fillId="12" borderId="40" xfId="0" applyNumberFormat="1" applyFont="1" applyFill="1" applyBorder="1" applyAlignment="1">
      <alignment horizontal="right" vertical="center" wrapText="1"/>
    </xf>
    <xf numFmtId="0" fontId="32" fillId="11" borderId="38" xfId="0" applyFont="1" applyFill="1" applyBorder="1" applyAlignment="1">
      <alignment horizontal="left" vertical="center" wrapText="1"/>
    </xf>
    <xf numFmtId="0" fontId="33" fillId="11" borderId="39" xfId="0" applyFont="1" applyFill="1" applyBorder="1" applyAlignment="1">
      <alignment horizontal="center" vertical="center" wrapText="1"/>
    </xf>
    <xf numFmtId="0" fontId="33" fillId="11" borderId="40" xfId="0" applyFont="1" applyFill="1" applyBorder="1" applyAlignment="1">
      <alignment horizontal="right" vertical="center" wrapText="1"/>
    </xf>
    <xf numFmtId="0" fontId="33" fillId="12" borderId="38" xfId="0" applyFont="1" applyFill="1" applyBorder="1" applyAlignment="1">
      <alignment horizontal="left" vertical="center" wrapText="1"/>
    </xf>
    <xf numFmtId="0" fontId="33" fillId="11" borderId="38" xfId="0" applyFont="1" applyFill="1" applyBorder="1" applyAlignment="1">
      <alignment horizontal="left" vertical="center" wrapText="1"/>
    </xf>
    <xf numFmtId="6" fontId="33" fillId="11" borderId="39" xfId="0" applyNumberFormat="1" applyFont="1" applyFill="1" applyBorder="1" applyAlignment="1">
      <alignment horizontal="center" vertical="center" wrapText="1"/>
    </xf>
    <xf numFmtId="8" fontId="33" fillId="11" borderId="40" xfId="0" applyNumberFormat="1" applyFont="1" applyFill="1" applyBorder="1" applyAlignment="1">
      <alignment horizontal="right" vertical="center" wrapText="1"/>
    </xf>
    <xf numFmtId="0" fontId="32" fillId="0" borderId="38" xfId="0" applyFont="1" applyBorder="1" applyAlignment="1">
      <alignment horizontal="left" vertical="center" wrapText="1"/>
    </xf>
    <xf numFmtId="0" fontId="33" fillId="0" borderId="39" xfId="0" applyFont="1" applyBorder="1" applyAlignment="1">
      <alignment horizontal="center" vertical="center" wrapText="1"/>
    </xf>
    <xf numFmtId="0" fontId="33" fillId="0" borderId="40" xfId="0" applyFont="1" applyBorder="1" applyAlignment="1">
      <alignment horizontal="right" vertical="center" wrapText="1"/>
    </xf>
    <xf numFmtId="0" fontId="33" fillId="13" borderId="38" xfId="0" applyFont="1" applyFill="1" applyBorder="1" applyAlignment="1">
      <alignment horizontal="left" vertical="center" wrapText="1"/>
    </xf>
    <xf numFmtId="6" fontId="33" fillId="13" borderId="39" xfId="0" applyNumberFormat="1" applyFont="1" applyFill="1" applyBorder="1" applyAlignment="1">
      <alignment horizontal="center" vertical="center" wrapText="1"/>
    </xf>
    <xf numFmtId="0" fontId="33" fillId="13" borderId="39" xfId="0" applyFont="1" applyFill="1" applyBorder="1" applyAlignment="1">
      <alignment horizontal="center" vertical="center" wrapText="1"/>
    </xf>
    <xf numFmtId="8" fontId="33" fillId="13" borderId="40" xfId="0" applyNumberFormat="1" applyFont="1" applyFill="1" applyBorder="1" applyAlignment="1">
      <alignment horizontal="right" vertical="center" wrapText="1"/>
    </xf>
    <xf numFmtId="0" fontId="33" fillId="0" borderId="38" xfId="0" applyFont="1" applyBorder="1" applyAlignment="1">
      <alignment horizontal="left" vertical="center" wrapText="1"/>
    </xf>
    <xf numFmtId="6" fontId="33" fillId="0" borderId="39" xfId="0" applyNumberFormat="1" applyFont="1" applyBorder="1" applyAlignment="1">
      <alignment horizontal="center" vertical="center" wrapText="1"/>
    </xf>
    <xf numFmtId="8" fontId="33" fillId="0" borderId="40" xfId="0" applyNumberFormat="1" applyFont="1" applyBorder="1" applyAlignment="1">
      <alignment horizontal="right" vertical="center" wrapText="1"/>
    </xf>
    <xf numFmtId="0" fontId="32" fillId="13" borderId="38" xfId="0" applyFont="1" applyFill="1" applyBorder="1" applyAlignment="1">
      <alignment horizontal="left" vertical="center" wrapText="1"/>
    </xf>
    <xf numFmtId="0" fontId="33" fillId="13" borderId="40" xfId="0" applyFont="1" applyFill="1" applyBorder="1" applyAlignment="1">
      <alignment horizontal="right" vertical="center" wrapText="1"/>
    </xf>
    <xf numFmtId="167" fontId="0" fillId="8" borderId="10" xfId="0" applyNumberFormat="1" applyFill="1" applyBorder="1" applyProtection="1">
      <protection hidden="1"/>
    </xf>
    <xf numFmtId="164" fontId="0" fillId="8" borderId="10" xfId="0" applyNumberFormat="1" applyFill="1" applyBorder="1" applyProtection="1">
      <protection hidden="1"/>
    </xf>
    <xf numFmtId="164" fontId="0" fillId="9" borderId="10" xfId="0" applyNumberFormat="1" applyFill="1" applyBorder="1" applyProtection="1">
      <protection hidden="1"/>
    </xf>
    <xf numFmtId="167" fontId="0" fillId="2" borderId="10" xfId="0" applyNumberFormat="1" applyFill="1" applyBorder="1" applyProtection="1">
      <protection hidden="1"/>
    </xf>
    <xf numFmtId="164" fontId="0" fillId="2" borderId="10" xfId="0" applyNumberFormat="1" applyFill="1" applyBorder="1" applyProtection="1">
      <protection hidden="1"/>
    </xf>
    <xf numFmtId="167" fontId="0" fillId="7" borderId="17" xfId="0" applyNumberFormat="1" applyFill="1" applyBorder="1" applyAlignment="1" applyProtection="1">
      <alignment horizontal="center"/>
      <protection hidden="1"/>
    </xf>
    <xf numFmtId="0" fontId="0" fillId="0" borderId="18" xfId="0" applyBorder="1" applyAlignment="1" applyProtection="1">
      <alignment horizontal="center" vertical="center"/>
      <protection hidden="1"/>
    </xf>
    <xf numFmtId="164" fontId="0" fillId="8" borderId="11" xfId="0" applyNumberFormat="1" applyFill="1" applyBorder="1" applyProtection="1">
      <protection hidden="1"/>
    </xf>
    <xf numFmtId="164" fontId="0" fillId="9" borderId="11" xfId="0" applyNumberFormat="1" applyFill="1" applyBorder="1" applyProtection="1">
      <protection hidden="1"/>
    </xf>
    <xf numFmtId="167" fontId="0" fillId="2" borderId="11" xfId="0" applyNumberFormat="1" applyFill="1" applyBorder="1" applyProtection="1">
      <protection hidden="1"/>
    </xf>
    <xf numFmtId="164" fontId="0" fillId="2" borderId="11" xfId="0" applyNumberFormat="1" applyFill="1" applyBorder="1" applyProtection="1">
      <protection hidden="1"/>
    </xf>
    <xf numFmtId="167" fontId="0" fillId="7" borderId="12" xfId="0" applyNumberFormat="1" applyFill="1" applyBorder="1" applyAlignment="1" applyProtection="1">
      <alignment horizontal="center"/>
      <protection hidden="1"/>
    </xf>
    <xf numFmtId="0" fontId="0" fillId="0" borderId="19" xfId="0" applyBorder="1" applyAlignment="1" applyProtection="1">
      <alignment horizontal="center" vertical="center"/>
      <protection hidden="1"/>
    </xf>
    <xf numFmtId="167" fontId="0" fillId="8" borderId="11" xfId="0" applyNumberFormat="1" applyFill="1" applyBorder="1" applyProtection="1">
      <protection hidden="1"/>
    </xf>
    <xf numFmtId="167" fontId="0" fillId="8" borderId="13" xfId="0" applyNumberFormat="1" applyFill="1" applyBorder="1" applyProtection="1">
      <protection hidden="1"/>
    </xf>
    <xf numFmtId="164" fontId="0" fillId="8" borderId="20" xfId="0" applyNumberFormat="1" applyFill="1" applyBorder="1" applyProtection="1">
      <protection hidden="1"/>
    </xf>
    <xf numFmtId="167" fontId="0" fillId="2" borderId="13" xfId="0" applyNumberFormat="1" applyFill="1" applyBorder="1" applyProtection="1">
      <protection hidden="1"/>
    </xf>
    <xf numFmtId="164" fontId="0" fillId="2" borderId="13" xfId="0" applyNumberFormat="1" applyFill="1" applyBorder="1" applyProtection="1">
      <protection hidden="1"/>
    </xf>
    <xf numFmtId="167" fontId="0" fillId="7" borderId="14" xfId="0" applyNumberFormat="1" applyFill="1" applyBorder="1" applyAlignment="1" applyProtection="1">
      <alignment horizontal="center"/>
      <protection hidden="1"/>
    </xf>
    <xf numFmtId="0" fontId="0" fillId="0" borderId="20" xfId="0" applyBorder="1" applyAlignment="1" applyProtection="1">
      <alignment horizontal="center" vertical="center"/>
      <protection hidden="1"/>
    </xf>
    <xf numFmtId="10" fontId="0" fillId="0" borderId="6" xfId="1" applyNumberFormat="1" applyFont="1" applyBorder="1" applyAlignment="1" applyProtection="1">
      <alignment horizontal="center" vertical="center"/>
    </xf>
    <xf numFmtId="10" fontId="3" fillId="0" borderId="4" xfId="1" applyNumberFormat="1" applyFont="1" applyBorder="1" applyProtection="1"/>
    <xf numFmtId="10" fontId="3" fillId="0" borderId="23" xfId="1" applyNumberFormat="1" applyFont="1" applyBorder="1" applyProtection="1"/>
    <xf numFmtId="167" fontId="0" fillId="9" borderId="18" xfId="0" applyNumberFormat="1" applyFill="1" applyBorder="1" applyProtection="1">
      <protection hidden="1"/>
    </xf>
    <xf numFmtId="167" fontId="0" fillId="14" borderId="42" xfId="0" applyNumberFormat="1" applyFill="1" applyBorder="1" applyProtection="1">
      <protection hidden="1"/>
    </xf>
    <xf numFmtId="0" fontId="17" fillId="0" borderId="0" xfId="0" applyFont="1" applyAlignment="1">
      <alignment horizontal="left" vertical="center"/>
    </xf>
    <xf numFmtId="165" fontId="36" fillId="0" borderId="0" xfId="0" applyNumberFormat="1" applyFont="1"/>
    <xf numFmtId="0" fontId="36" fillId="0" borderId="0" xfId="0" applyFont="1"/>
    <xf numFmtId="0" fontId="16" fillId="0" borderId="0" xfId="0" applyFont="1" applyAlignment="1">
      <alignment horizontal="left"/>
    </xf>
    <xf numFmtId="0" fontId="0" fillId="0" borderId="25" xfId="0" applyBorder="1"/>
    <xf numFmtId="0" fontId="0" fillId="0" borderId="0" xfId="0" applyAlignment="1">
      <alignment horizontal="center"/>
    </xf>
    <xf numFmtId="0" fontId="0" fillId="0" borderId="0" xfId="0" applyAlignment="1">
      <alignment horizontal="center" vertical="center"/>
    </xf>
    <xf numFmtId="0" fontId="21" fillId="0" borderId="0" xfId="0" applyFont="1" applyAlignment="1">
      <alignment horizontal="left"/>
    </xf>
    <xf numFmtId="0" fontId="35" fillId="0" borderId="26" xfId="0" applyFont="1" applyBorder="1"/>
    <xf numFmtId="0" fontId="24" fillId="0" borderId="0" xfId="0" applyFont="1"/>
    <xf numFmtId="0" fontId="18" fillId="0" borderId="0" xfId="0" applyFont="1" applyAlignment="1">
      <alignment horizontal="left"/>
    </xf>
    <xf numFmtId="0" fontId="0" fillId="0" borderId="5" xfId="0" applyBorder="1" applyAlignment="1">
      <alignment horizontal="center" vertical="center"/>
    </xf>
    <xf numFmtId="0" fontId="3" fillId="0" borderId="8" xfId="0" applyFont="1" applyBorder="1"/>
    <xf numFmtId="44" fontId="0" fillId="0" borderId="6" xfId="0" applyNumberFormat="1" applyBorder="1" applyAlignment="1">
      <alignment horizontal="center" vertical="center"/>
    </xf>
    <xf numFmtId="0" fontId="25" fillId="0" borderId="23" xfId="0" applyFont="1" applyBorder="1" applyAlignment="1">
      <alignment horizontal="center"/>
    </xf>
    <xf numFmtId="0" fontId="25" fillId="0" borderId="24" xfId="0" applyFont="1" applyBorder="1" applyAlignment="1">
      <alignment horizontal="center"/>
    </xf>
    <xf numFmtId="0" fontId="3" fillId="0" borderId="24" xfId="0" applyFont="1" applyBorder="1"/>
    <xf numFmtId="44" fontId="19" fillId="0" borderId="5" xfId="0" applyNumberFormat="1" applyFont="1" applyBorder="1" applyAlignment="1">
      <alignment horizontal="center" vertical="center"/>
    </xf>
    <xf numFmtId="0" fontId="19" fillId="0" borderId="23" xfId="0" applyFont="1" applyBorder="1" applyAlignment="1">
      <alignment horizontal="center" vertical="center"/>
    </xf>
    <xf numFmtId="0" fontId="19" fillId="0" borderId="24" xfId="0" applyFont="1" applyBorder="1" applyAlignment="1">
      <alignment horizontal="center" vertical="center"/>
    </xf>
    <xf numFmtId="0" fontId="29" fillId="0" borderId="23" xfId="0" applyFont="1" applyBorder="1" applyAlignment="1">
      <alignment horizontal="center" vertical="center"/>
    </xf>
    <xf numFmtId="0" fontId="29" fillId="0" borderId="24" xfId="0" applyFont="1" applyBorder="1" applyAlignment="1">
      <alignment horizontal="center" vertical="center"/>
    </xf>
    <xf numFmtId="0" fontId="19" fillId="0" borderId="0" xfId="0" applyFont="1" applyAlignment="1">
      <alignment horizontal="center" vertical="center"/>
    </xf>
    <xf numFmtId="0" fontId="4" fillId="0" borderId="41" xfId="0" applyFont="1" applyBorder="1" applyAlignment="1">
      <alignment horizontal="center" vertical="center"/>
    </xf>
    <xf numFmtId="0" fontId="4" fillId="0" borderId="0" xfId="0" applyFont="1"/>
    <xf numFmtId="166" fontId="23" fillId="6" borderId="3" xfId="21" applyFont="1" applyFill="1" applyBorder="1" applyAlignment="1">
      <alignment horizontal="left" vertical="center" wrapText="1" indent="1"/>
    </xf>
    <xf numFmtId="164" fontId="0" fillId="0" borderId="17" xfId="0" applyNumberFormat="1" applyBorder="1"/>
    <xf numFmtId="167" fontId="0" fillId="0" borderId="0" xfId="0" applyNumberFormat="1"/>
    <xf numFmtId="166" fontId="23" fillId="6" borderId="21" xfId="21" applyFont="1" applyFill="1" applyBorder="1" applyAlignment="1">
      <alignment horizontal="left" vertical="center" wrapText="1" indent="1"/>
    </xf>
    <xf numFmtId="164" fontId="0" fillId="0" borderId="12" xfId="0" applyNumberFormat="1" applyBorder="1"/>
    <xf numFmtId="166" fontId="23" fillId="6" borderId="22" xfId="21" applyFont="1" applyFill="1" applyBorder="1" applyAlignment="1">
      <alignment horizontal="left" vertical="center" wrapText="1" indent="1"/>
    </xf>
    <xf numFmtId="164" fontId="0" fillId="0" borderId="14" xfId="0" applyNumberFormat="1" applyBorder="1"/>
    <xf numFmtId="167" fontId="22" fillId="0" borderId="0" xfId="0" applyNumberFormat="1" applyFont="1"/>
    <xf numFmtId="164" fontId="22" fillId="0" borderId="0" xfId="0" applyNumberFormat="1" applyFont="1"/>
    <xf numFmtId="0" fontId="19" fillId="0" borderId="0" xfId="0" applyFont="1" applyAlignment="1">
      <alignment horizontal="center"/>
    </xf>
    <xf numFmtId="164" fontId="19" fillId="0" borderId="0" xfId="0" applyNumberFormat="1" applyFont="1"/>
    <xf numFmtId="0" fontId="19" fillId="0" borderId="0" xfId="0" applyFont="1"/>
    <xf numFmtId="0" fontId="20" fillId="0" borderId="0" xfId="0" applyFont="1" applyAlignment="1">
      <alignment horizontal="left"/>
    </xf>
    <xf numFmtId="164" fontId="0" fillId="0" borderId="0" xfId="0" applyNumberFormat="1" applyAlignment="1">
      <alignment horizontal="center" vertical="center"/>
    </xf>
    <xf numFmtId="164" fontId="0" fillId="0" borderId="0" xfId="0" applyNumberFormat="1"/>
    <xf numFmtId="0" fontId="22" fillId="0" borderId="0" xfId="0" applyFont="1" applyAlignment="1">
      <alignment horizontal="left"/>
    </xf>
    <xf numFmtId="10" fontId="22" fillId="0" borderId="0" xfId="0" applyNumberFormat="1" applyFont="1" applyAlignment="1">
      <alignment horizontal="right"/>
    </xf>
    <xf numFmtId="167" fontId="0" fillId="14" borderId="13" xfId="0" applyNumberFormat="1" applyFill="1" applyBorder="1" applyProtection="1">
      <protection hidden="1"/>
    </xf>
    <xf numFmtId="164" fontId="0" fillId="9" borderId="20" xfId="0" applyNumberFormat="1" applyFill="1" applyBorder="1" applyProtection="1">
      <protection hidden="1"/>
    </xf>
    <xf numFmtId="0" fontId="29" fillId="0" borderId="3" xfId="0" applyFont="1" applyBorder="1" applyAlignment="1">
      <alignment horizontal="center" wrapText="1"/>
    </xf>
    <xf numFmtId="0" fontId="29" fillId="0" borderId="7" xfId="0" applyFont="1" applyBorder="1" applyAlignment="1">
      <alignment horizontal="center" wrapText="1"/>
    </xf>
    <xf numFmtId="0" fontId="26" fillId="0" borderId="4" xfId="0" applyFont="1" applyBorder="1" applyAlignment="1">
      <alignment horizontal="center" wrapText="1"/>
    </xf>
    <xf numFmtId="0" fontId="26" fillId="0" borderId="0" xfId="0" applyFont="1" applyAlignment="1">
      <alignment horizontal="center" wrapText="1"/>
    </xf>
    <xf numFmtId="0" fontId="26" fillId="0" borderId="8" xfId="0" applyFont="1" applyBorder="1" applyAlignment="1">
      <alignment horizontal="center" wrapText="1"/>
    </xf>
    <xf numFmtId="0" fontId="27" fillId="0" borderId="27" xfId="22" applyBorder="1" applyAlignment="1" applyProtection="1">
      <alignment horizontal="center" vertical="center"/>
      <protection locked="0"/>
    </xf>
    <xf numFmtId="0" fontId="27" fillId="0" borderId="28" xfId="22" applyBorder="1" applyAlignment="1" applyProtection="1">
      <alignment horizontal="center" vertical="center"/>
      <protection locked="0"/>
    </xf>
    <xf numFmtId="0" fontId="27" fillId="0" borderId="31" xfId="22" applyBorder="1" applyAlignment="1" applyProtection="1">
      <alignment horizontal="center" vertical="center"/>
      <protection locked="0"/>
    </xf>
    <xf numFmtId="0" fontId="21" fillId="10" borderId="32" xfId="0" applyFont="1" applyFill="1" applyBorder="1" applyAlignment="1">
      <alignment horizontal="center"/>
    </xf>
    <xf numFmtId="0" fontId="21" fillId="10" borderId="33" xfId="0" applyFont="1" applyFill="1" applyBorder="1" applyAlignment="1">
      <alignment horizontal="center"/>
    </xf>
    <xf numFmtId="0" fontId="21" fillId="10" borderId="34" xfId="0" applyFont="1" applyFill="1" applyBorder="1" applyAlignment="1">
      <alignment horizontal="center"/>
    </xf>
    <xf numFmtId="0" fontId="28" fillId="0" borderId="0" xfId="0" applyFont="1" applyAlignment="1">
      <alignment horizontal="center"/>
    </xf>
    <xf numFmtId="0" fontId="22" fillId="0" borderId="3" xfId="0" applyFont="1" applyBorder="1" applyAlignment="1">
      <alignment horizontal="center"/>
    </xf>
    <xf numFmtId="0" fontId="22" fillId="0" borderId="7" xfId="0" applyFont="1" applyBorder="1" applyAlignment="1">
      <alignment horizontal="center"/>
    </xf>
    <xf numFmtId="164" fontId="22" fillId="6" borderId="27" xfId="0" applyNumberFormat="1" applyFont="1" applyFill="1" applyBorder="1" applyAlignment="1" applyProtection="1">
      <alignment horizontal="center"/>
      <protection locked="0"/>
    </xf>
    <xf numFmtId="164" fontId="22" fillId="6" borderId="28" xfId="0" applyNumberFormat="1" applyFont="1" applyFill="1" applyBorder="1" applyAlignment="1" applyProtection="1">
      <alignment horizontal="center"/>
      <protection locked="0"/>
    </xf>
    <xf numFmtId="164" fontId="22" fillId="0" borderId="0" xfId="0" applyNumberFormat="1" applyFont="1" applyAlignment="1">
      <alignment horizontal="center"/>
    </xf>
    <xf numFmtId="164" fontId="22" fillId="0" borderId="8" xfId="0" applyNumberFormat="1" applyFont="1" applyBorder="1" applyAlignment="1">
      <alignment horizontal="center"/>
    </xf>
    <xf numFmtId="0" fontId="34" fillId="0" borderId="4" xfId="0" applyFont="1" applyBorder="1" applyAlignment="1">
      <alignment horizontal="center"/>
    </xf>
    <xf numFmtId="0" fontId="34" fillId="0" borderId="8" xfId="0" applyFont="1" applyBorder="1" applyAlignment="1">
      <alignment horizontal="center"/>
    </xf>
    <xf numFmtId="0" fontId="34" fillId="0" borderId="30" xfId="0" applyFont="1" applyBorder="1" applyAlignment="1">
      <alignment horizontal="center"/>
    </xf>
    <xf numFmtId="0" fontId="34" fillId="0" borderId="29" xfId="0" applyFont="1" applyBorder="1" applyAlignment="1">
      <alignment horizontal="center"/>
    </xf>
    <xf numFmtId="0" fontId="22" fillId="0" borderId="3" xfId="0" applyFont="1" applyBorder="1" applyAlignment="1">
      <alignment horizontal="center" wrapText="1"/>
    </xf>
    <xf numFmtId="0" fontId="22" fillId="0" borderId="7" xfId="0" applyFont="1" applyBorder="1" applyAlignment="1">
      <alignment horizontal="center" wrapText="1"/>
    </xf>
    <xf numFmtId="0" fontId="28" fillId="0" borderId="0" xfId="0" applyFont="1" applyAlignment="1">
      <alignment horizontal="center" vertical="center" wrapText="1"/>
    </xf>
    <xf numFmtId="167" fontId="13" fillId="4" borderId="15" xfId="21" applyNumberFormat="1" applyFont="1" applyFill="1" applyBorder="1" applyAlignment="1">
      <alignment horizontal="center" vertical="center" wrapText="1"/>
    </xf>
    <xf numFmtId="167" fontId="13" fillId="4" borderId="9" xfId="21" applyNumberFormat="1" applyFont="1" applyFill="1" applyBorder="1" applyAlignment="1">
      <alignment horizontal="center" vertical="center" wrapText="1"/>
    </xf>
    <xf numFmtId="167" fontId="13" fillId="4" borderId="16" xfId="21" applyNumberFormat="1" applyFont="1" applyFill="1" applyBorder="1" applyAlignment="1">
      <alignment horizontal="center" vertical="center" wrapText="1"/>
    </xf>
    <xf numFmtId="166" fontId="13" fillId="0" borderId="15" xfId="21" applyFont="1" applyBorder="1" applyAlignment="1">
      <alignment horizontal="center" vertical="center" wrapText="1"/>
    </xf>
    <xf numFmtId="166" fontId="13" fillId="0" borderId="9" xfId="21" applyFont="1" applyBorder="1" applyAlignment="1">
      <alignment horizontal="center" vertical="center" wrapText="1"/>
    </xf>
    <xf numFmtId="166" fontId="13" fillId="0" borderId="16" xfId="21" applyFont="1" applyBorder="1" applyAlignment="1">
      <alignment horizontal="center" vertical="center" wrapText="1"/>
    </xf>
    <xf numFmtId="166" fontId="11" fillId="0" borderId="0" xfId="21" applyFont="1" applyAlignment="1">
      <alignment horizontal="center" vertical="center" wrapText="1"/>
    </xf>
    <xf numFmtId="166" fontId="11" fillId="0" borderId="0" xfId="21" applyFont="1" applyAlignment="1">
      <alignment horizontal="center" vertical="center"/>
    </xf>
    <xf numFmtId="0" fontId="17" fillId="0" borderId="1" xfId="0" applyFont="1" applyBorder="1" applyAlignment="1">
      <alignment horizontal="left" vertical="center"/>
    </xf>
    <xf numFmtId="166" fontId="13" fillId="3" borderId="15" xfId="21" applyFont="1" applyFill="1" applyBorder="1" applyAlignment="1">
      <alignment horizontal="center" vertical="center" wrapText="1"/>
    </xf>
    <xf numFmtId="166" fontId="13" fillId="3" borderId="9" xfId="21" applyFont="1" applyFill="1" applyBorder="1" applyAlignment="1">
      <alignment horizontal="center" vertical="center" wrapText="1"/>
    </xf>
    <xf numFmtId="166" fontId="13" fillId="3" borderId="16" xfId="21" applyFont="1" applyFill="1" applyBorder="1" applyAlignment="1">
      <alignment horizontal="center" vertical="center" wrapText="1"/>
    </xf>
    <xf numFmtId="166" fontId="13" fillId="3" borderId="15" xfId="21" applyFont="1" applyFill="1" applyBorder="1" applyAlignment="1">
      <alignment horizontal="center" vertical="center"/>
    </xf>
    <xf numFmtId="166" fontId="13" fillId="3" borderId="9" xfId="21" applyFont="1" applyFill="1" applyBorder="1" applyAlignment="1">
      <alignment horizontal="center" vertical="center"/>
    </xf>
    <xf numFmtId="166" fontId="13" fillId="3" borderId="16" xfId="21" applyFont="1" applyFill="1" applyBorder="1" applyAlignment="1">
      <alignment horizontal="center" vertical="center"/>
    </xf>
  </cellXfs>
  <cellStyles count="23">
    <cellStyle name="Comma 2" xfId="14" xr:uid="{9D7E91CE-B967-4AAC-A61B-F3537B0C8CA0}"/>
    <cellStyle name="Comma 2 2" xfId="18" xr:uid="{6D11A727-083D-4AEF-A168-2194593A0308}"/>
    <cellStyle name="Comma 3" xfId="12" xr:uid="{3B1FCDA0-9096-4FD9-89F4-F69A0A7339E2}"/>
    <cellStyle name="Currency 2" xfId="3" xr:uid="{0D07F4BA-B089-4BF7-B0F2-B3EAAF2C0EEA}"/>
    <cellStyle name="Currency 3" xfId="6" xr:uid="{BF77772E-FA77-4908-8EF4-6FC6E6099AAC}"/>
    <cellStyle name="Currency 3 2" xfId="11" xr:uid="{EC33B30B-C3FC-43A3-95A1-994BBAD4AF60}"/>
    <cellStyle name="Currency 4" xfId="4" xr:uid="{E15E26D9-3290-4E87-97FF-E88195964701}"/>
    <cellStyle name="Hyperlink" xfId="22" builtinId="8"/>
    <cellStyle name="Normal" xfId="0" builtinId="0"/>
    <cellStyle name="Normal 2" xfId="5" xr:uid="{F294BE17-9D3A-4B0A-AE09-03191910BD54}"/>
    <cellStyle name="Normal 2 2" xfId="10" xr:uid="{AC1B8B32-E4EC-4196-86CA-5CA575EAC49E}"/>
    <cellStyle name="Normal 3" xfId="8" xr:uid="{67C62BF4-B076-4CB1-B3E0-1BF343ABDBB7}"/>
    <cellStyle name="Normal 3 2" xfId="2" xr:uid="{5D3CFDD7-F0B1-4EBF-BD13-E8FD3662A19C}"/>
    <cellStyle name="Normal 4" xfId="9" xr:uid="{EBB5288F-B1F9-45A1-B1F9-B8468BA1279B}"/>
    <cellStyle name="Normal 5" xfId="19" xr:uid="{94428804-C224-4E15-A52A-0A00C6D3F14E}"/>
    <cellStyle name="Normal 6" xfId="20" xr:uid="{30171967-8CAF-4C7D-9332-A610539868F6}"/>
    <cellStyle name="Normal_2007 Tax Levies (by TCA)" xfId="21" xr:uid="{1CEF8E6D-C0EA-45A7-B8D3-93CD5792DB67}"/>
    <cellStyle name="Percent" xfId="1" builtinId="5"/>
    <cellStyle name="Percent 2" xfId="7" xr:uid="{F5F1032F-5C14-4617-B1F0-718434AC9277}"/>
    <cellStyle name="Percent 2 2" xfId="15" xr:uid="{274448E3-9588-407E-BFED-FA6CEE9810C4}"/>
    <cellStyle name="Percent 3" xfId="16" xr:uid="{CCA9702D-FB5B-45FC-AA28-9A37CA501C8D}"/>
    <cellStyle name="Percent 4" xfId="17" xr:uid="{29979C34-B386-4F5A-B7BB-D102436C7FC7}"/>
    <cellStyle name="Percent 5" xfId="13" xr:uid="{B24DDF72-4C53-4D11-80CC-E0598693BC3B}"/>
  </cellStyles>
  <dxfs count="0"/>
  <tableStyles count="0" defaultTableStyle="TableStyleMedium2" defaultPivotStyle="PivotStyleLight16"/>
  <colors>
    <mruColors>
      <color rgb="FFFFFF99"/>
      <color rgb="FFDDEBF7"/>
      <color rgb="FFFF9999"/>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419100</xdr:colOff>
      <xdr:row>3</xdr:row>
      <xdr:rowOff>247650</xdr:rowOff>
    </xdr:from>
    <xdr:to>
      <xdr:col>20</xdr:col>
      <xdr:colOff>475481</xdr:colOff>
      <xdr:row>32</xdr:row>
      <xdr:rowOff>86814</xdr:rowOff>
    </xdr:to>
    <xdr:pic>
      <xdr:nvPicPr>
        <xdr:cNvPr id="3" name="Picture 2">
          <a:extLst>
            <a:ext uri="{FF2B5EF4-FFF2-40B4-BE49-F238E27FC236}">
              <a16:creationId xmlns:a16="http://schemas.microsoft.com/office/drawing/2014/main" id="{1361D292-0346-4950-A4D0-7F9386D6989B}"/>
            </a:ext>
          </a:extLst>
        </xdr:cNvPr>
        <xdr:cNvPicPr>
          <a:picLocks noChangeAspect="1"/>
        </xdr:cNvPicPr>
      </xdr:nvPicPr>
      <xdr:blipFill>
        <a:blip xmlns:r="http://schemas.openxmlformats.org/officeDocument/2006/relationships" r:embed="rId1"/>
        <a:stretch>
          <a:fillRect/>
        </a:stretch>
      </xdr:blipFill>
      <xdr:spPr>
        <a:xfrm>
          <a:off x="12601575" y="1038225"/>
          <a:ext cx="6152381" cy="6523809"/>
        </a:xfrm>
        <a:prstGeom prst="rect">
          <a:avLst/>
        </a:prstGeom>
      </xdr:spPr>
    </xdr:pic>
    <xdr:clientData/>
  </xdr:twoCellAnchor>
  <xdr:twoCellAnchor>
    <xdr:from>
      <xdr:col>8</xdr:col>
      <xdr:colOff>1724025</xdr:colOff>
      <xdr:row>3</xdr:row>
      <xdr:rowOff>123825</xdr:rowOff>
    </xdr:from>
    <xdr:to>
      <xdr:col>10</xdr:col>
      <xdr:colOff>428625</xdr:colOff>
      <xdr:row>3</xdr:row>
      <xdr:rowOff>142875</xdr:rowOff>
    </xdr:to>
    <xdr:cxnSp macro="">
      <xdr:nvCxnSpPr>
        <xdr:cNvPr id="4" name="Straight Arrow Connector 3">
          <a:extLst>
            <a:ext uri="{FF2B5EF4-FFF2-40B4-BE49-F238E27FC236}">
              <a16:creationId xmlns:a16="http://schemas.microsoft.com/office/drawing/2014/main" id="{6C54438E-35AC-4C13-8A68-8CC3ED607561}"/>
            </a:ext>
          </a:extLst>
        </xdr:cNvPr>
        <xdr:cNvCxnSpPr/>
      </xdr:nvCxnSpPr>
      <xdr:spPr>
        <a:xfrm flipV="1">
          <a:off x="11544300" y="323850"/>
          <a:ext cx="1066800" cy="1905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95249</xdr:colOff>
      <xdr:row>32</xdr:row>
      <xdr:rowOff>66675</xdr:rowOff>
    </xdr:from>
    <xdr:to>
      <xdr:col>10</xdr:col>
      <xdr:colOff>104775</xdr:colOff>
      <xdr:row>40</xdr:row>
      <xdr:rowOff>123825</xdr:rowOff>
    </xdr:to>
    <xdr:sp macro="" textlink="">
      <xdr:nvSpPr>
        <xdr:cNvPr id="2" name="TextBox 1">
          <a:extLst>
            <a:ext uri="{FF2B5EF4-FFF2-40B4-BE49-F238E27FC236}">
              <a16:creationId xmlns:a16="http://schemas.microsoft.com/office/drawing/2014/main" id="{5173BD28-AD13-6405-827B-1276F7FDB652}"/>
            </a:ext>
          </a:extLst>
        </xdr:cNvPr>
        <xdr:cNvSpPr txBox="1"/>
      </xdr:nvSpPr>
      <xdr:spPr>
        <a:xfrm>
          <a:off x="10467974" y="7981950"/>
          <a:ext cx="1924051" cy="1895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a:t>
          </a:r>
          <a:r>
            <a:rPr lang="en-US" sz="1100" b="1" u="sng"/>
            <a:t>What is Banked Capacity? </a:t>
          </a:r>
        </a:p>
        <a:p>
          <a:r>
            <a:rPr lang="en-US" sz="1100"/>
            <a:t>Beginning in 1986, the Legislature allowed local governments to levy less than the maximum increase in property taxes allowed under law without losing the ability to levy higher taxes later</a:t>
          </a:r>
          <a:r>
            <a:rPr lang="en-US" sz="1100" baseline="0"/>
            <a:t> without voter's approval. </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2</xdr:row>
      <xdr:rowOff>0</xdr:rowOff>
    </xdr:from>
    <xdr:to>
      <xdr:col>0</xdr:col>
      <xdr:colOff>9525</xdr:colOff>
      <xdr:row>25</xdr:row>
      <xdr:rowOff>0</xdr:rowOff>
    </xdr:to>
    <xdr:sp macro="" textlink="">
      <xdr:nvSpPr>
        <xdr:cNvPr id="3" name="Line 1">
          <a:extLst>
            <a:ext uri="{FF2B5EF4-FFF2-40B4-BE49-F238E27FC236}">
              <a16:creationId xmlns:a16="http://schemas.microsoft.com/office/drawing/2014/main" id="{AC5F06BC-C10F-4A79-8875-E4D68895DDCF}"/>
            </a:ext>
          </a:extLst>
        </xdr:cNvPr>
        <xdr:cNvSpPr>
          <a:spLocks noChangeShapeType="1"/>
        </xdr:cNvSpPr>
      </xdr:nvSpPr>
      <xdr:spPr bwMode="auto">
        <a:xfrm flipV="1">
          <a:off x="9525" y="243840"/>
          <a:ext cx="0" cy="4693920"/>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2</xdr:row>
      <xdr:rowOff>0</xdr:rowOff>
    </xdr:from>
    <xdr:to>
      <xdr:col>0</xdr:col>
      <xdr:colOff>9525</xdr:colOff>
      <xdr:row>25</xdr:row>
      <xdr:rowOff>0</xdr:rowOff>
    </xdr:to>
    <xdr:sp macro="" textlink="">
      <xdr:nvSpPr>
        <xdr:cNvPr id="2" name="Line 1">
          <a:extLst>
            <a:ext uri="{FF2B5EF4-FFF2-40B4-BE49-F238E27FC236}">
              <a16:creationId xmlns:a16="http://schemas.microsoft.com/office/drawing/2014/main" id="{63723E3F-A37C-4108-A8E2-8E33A64C8D42}"/>
            </a:ext>
          </a:extLst>
        </xdr:cNvPr>
        <xdr:cNvSpPr>
          <a:spLocks noChangeShapeType="1"/>
        </xdr:cNvSpPr>
      </xdr:nvSpPr>
      <xdr:spPr bwMode="auto">
        <a:xfrm flipV="1">
          <a:off x="9525" y="1097280"/>
          <a:ext cx="0" cy="420624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arcel.sanjuancountywa.gov/PropertyAccess/PropertySearch.aspx?cid=0"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48AC1-EF40-44E8-8F0C-CCCD762A9553}">
  <sheetPr codeName="Sheet1">
    <pageSetUpPr fitToPage="1"/>
  </sheetPr>
  <dimension ref="A1:O44"/>
  <sheetViews>
    <sheetView tabSelected="1" workbookViewId="0">
      <selection activeCell="B4" sqref="B4"/>
    </sheetView>
  </sheetViews>
  <sheetFormatPr defaultColWidth="8.85546875" defaultRowHeight="15"/>
  <cols>
    <col min="1" max="1" width="40" style="71" customWidth="1"/>
    <col min="2" max="5" width="17.7109375" customWidth="1"/>
    <col min="6" max="6" width="18.28515625" customWidth="1"/>
    <col min="7" max="7" width="28.7109375" customWidth="1"/>
    <col min="8" max="8" width="28.7109375" style="73" hidden="1" customWidth="1"/>
    <col min="9" max="9" width="28.7109375" style="74" customWidth="1"/>
    <col min="10" max="10" width="0" hidden="1" customWidth="1"/>
  </cols>
  <sheetData>
    <row r="1" spans="1:15" ht="23.25">
      <c r="B1" s="123" t="s">
        <v>62</v>
      </c>
      <c r="C1" s="123"/>
      <c r="D1" s="123"/>
      <c r="E1" s="123"/>
      <c r="F1" s="123"/>
      <c r="G1" s="123"/>
      <c r="H1" s="123"/>
      <c r="I1" s="123"/>
    </row>
    <row r="2" spans="1:15" ht="54" customHeight="1">
      <c r="B2" s="136" t="s">
        <v>73</v>
      </c>
      <c r="C2" s="136"/>
      <c r="D2" s="136"/>
      <c r="E2" s="136"/>
      <c r="F2" s="136"/>
      <c r="G2" s="136"/>
      <c r="H2" s="136"/>
      <c r="I2" s="136"/>
    </row>
    <row r="3" spans="1:15" ht="15.75" thickBot="1">
      <c r="B3" s="72"/>
    </row>
    <row r="4" spans="1:15" ht="22.5" thickTop="1" thickBot="1">
      <c r="A4" s="75" t="s">
        <v>32</v>
      </c>
      <c r="B4" s="15"/>
      <c r="C4" s="76" t="s">
        <v>110</v>
      </c>
      <c r="L4" s="75" t="s">
        <v>60</v>
      </c>
      <c r="M4" s="77"/>
      <c r="N4" s="77"/>
      <c r="O4" s="77"/>
    </row>
    <row r="5" spans="1:15" ht="16.5" thickTop="1" thickBot="1">
      <c r="A5" s="78"/>
    </row>
    <row r="6" spans="1:15" ht="39.75" customHeight="1" thickBot="1">
      <c r="A6" s="78"/>
      <c r="B6" s="134" t="s">
        <v>113</v>
      </c>
      <c r="C6" s="135"/>
      <c r="D6" s="134" t="s">
        <v>104</v>
      </c>
      <c r="E6" s="135"/>
      <c r="F6" s="124" t="s">
        <v>59</v>
      </c>
      <c r="G6" s="125"/>
      <c r="I6" s="79"/>
    </row>
    <row r="7" spans="1:15" ht="22.5" thickTop="1" thickBot="1">
      <c r="A7" s="75" t="s">
        <v>57</v>
      </c>
      <c r="B7" s="126"/>
      <c r="C7" s="127"/>
      <c r="D7" s="126"/>
      <c r="E7" s="127"/>
      <c r="F7" s="128">
        <f>B7-D7</f>
        <v>0</v>
      </c>
      <c r="G7" s="129"/>
      <c r="I7" s="63"/>
    </row>
    <row r="8" spans="1:15" ht="21.75" thickTop="1">
      <c r="A8" s="78"/>
      <c r="B8" s="130" t="s">
        <v>61</v>
      </c>
      <c r="C8" s="131"/>
      <c r="D8" s="132" t="s">
        <v>61</v>
      </c>
      <c r="E8" s="133"/>
      <c r="F8" s="64" t="e">
        <f>F7/D7</f>
        <v>#DIV/0!</v>
      </c>
      <c r="G8" s="80" t="s">
        <v>111</v>
      </c>
      <c r="I8" s="81"/>
    </row>
    <row r="9" spans="1:15" ht="19.5" thickBot="1">
      <c r="A9" s="78"/>
      <c r="B9" s="82"/>
      <c r="C9" s="83"/>
      <c r="D9" s="82"/>
      <c r="E9" s="83"/>
      <c r="F9" s="65"/>
      <c r="G9" s="84"/>
      <c r="I9" s="81"/>
    </row>
    <row r="10" spans="1:15" ht="48" customHeight="1" thickBot="1">
      <c r="A10" s="78"/>
      <c r="B10" s="114" t="s">
        <v>124</v>
      </c>
      <c r="C10" s="115"/>
      <c r="D10" s="115"/>
      <c r="E10" s="115"/>
      <c r="F10" s="115"/>
      <c r="G10" s="116"/>
      <c r="I10" s="81"/>
    </row>
    <row r="11" spans="1:15" ht="16.5" thickTop="1" thickBot="1">
      <c r="B11" s="117" t="s">
        <v>123</v>
      </c>
      <c r="C11" s="118"/>
      <c r="D11" s="118"/>
      <c r="E11" s="118"/>
      <c r="F11" s="118"/>
      <c r="G11" s="119"/>
      <c r="I11" s="81"/>
    </row>
    <row r="12" spans="1:15" ht="15.75" customHeight="1" thickTop="1" thickBot="1">
      <c r="B12" s="114"/>
      <c r="C12" s="115"/>
      <c r="D12" s="115"/>
      <c r="E12" s="115"/>
      <c r="F12" s="115"/>
      <c r="G12" s="116"/>
      <c r="I12" s="81"/>
    </row>
    <row r="13" spans="1:15" ht="15.75" customHeight="1">
      <c r="B13" s="112" t="s">
        <v>121</v>
      </c>
      <c r="C13" s="113"/>
      <c r="D13" s="112" t="s">
        <v>105</v>
      </c>
      <c r="E13" s="113"/>
      <c r="F13" s="112" t="s">
        <v>59</v>
      </c>
      <c r="G13" s="113"/>
      <c r="I13" s="85" t="s">
        <v>112</v>
      </c>
    </row>
    <row r="14" spans="1:15" s="92" customFormat="1" ht="21.75" thickBot="1">
      <c r="A14" s="75" t="s">
        <v>19</v>
      </c>
      <c r="B14" s="86" t="s">
        <v>9</v>
      </c>
      <c r="C14" s="87" t="s">
        <v>70</v>
      </c>
      <c r="D14" s="86" t="s">
        <v>9</v>
      </c>
      <c r="E14" s="87" t="s">
        <v>70</v>
      </c>
      <c r="F14" s="88" t="s">
        <v>71</v>
      </c>
      <c r="G14" s="89" t="s">
        <v>72</v>
      </c>
      <c r="H14" s="90" t="s">
        <v>58</v>
      </c>
      <c r="I14" s="91"/>
    </row>
    <row r="15" spans="1:15" ht="16.5" thickBot="1">
      <c r="A15" s="93" t="s">
        <v>68</v>
      </c>
      <c r="B15" s="43">
        <f>IF(ISNUMBER(VLOOKUP($B$4,_TCA2026,3,FALSE)),VLOOKUP($B$4,_TCA2026,3,FALSE),0)</f>
        <v>0</v>
      </c>
      <c r="C15" s="44">
        <f>IF(ISNUMBER((B$7/1000*B15)),B7/1000*B15,0)</f>
        <v>0</v>
      </c>
      <c r="D15" s="66">
        <f>IF(ISNUMBER(VLOOKUP($B$4,_TCA2025,3,FALSE)),VLOOKUP($B$4,_TCA2025,3,FALSE),0)</f>
        <v>0</v>
      </c>
      <c r="E15" s="45">
        <f>IF(ISNUMBER((D$7/1000*D15)),D$7/1000*D15,0)</f>
        <v>0</v>
      </c>
      <c r="F15" s="46">
        <f t="shared" ref="F15:F32" si="0">IF(ISNUMBER(B15-D15),B15-D15,0)</f>
        <v>0</v>
      </c>
      <c r="G15" s="47">
        <f t="shared" ref="G15:G32" si="1">IF(ISNUMBER(C15-E15),C15-E15,0)</f>
        <v>0</v>
      </c>
      <c r="H15" s="48" t="e">
        <f>VLOOKUP($B$4,_TY2026_Increase,3,FALSE)</f>
        <v>#N/A</v>
      </c>
      <c r="I15" s="49" t="e">
        <f>IF(H15=0,"",H15)</f>
        <v>#N/A</v>
      </c>
      <c r="J15" s="94" t="e">
        <f>IF(I15="2022 Voter Approved", G15,0)</f>
        <v>#N/A</v>
      </c>
      <c r="K15" s="95"/>
    </row>
    <row r="16" spans="1:15" ht="15" customHeight="1">
      <c r="A16" s="96" t="s">
        <v>69</v>
      </c>
      <c r="B16" s="43">
        <f>IF(ISNUMBER(VLOOKUP($B$4,_TCA2026,4,FALSE)),VLOOKUP($B$4,_TCA2026,4,FALSE),0)</f>
        <v>0</v>
      </c>
      <c r="C16" s="50">
        <f t="shared" ref="C16:C32" si="2">IF(ISNUMBER((B$7/1000*B16)),B$7/1000*B16,0)</f>
        <v>0</v>
      </c>
      <c r="D16" s="67">
        <f>IF(ISNUMBER(VLOOKUP($B$4,_TCA2025,4,FALSE)),VLOOKUP($B$4,_TCA2025,4,FALSE),0)</f>
        <v>0</v>
      </c>
      <c r="E16" s="51">
        <f t="shared" ref="E16:E32" si="3">IF(ISNUMBER((D$7/1000*D16)),D$7/1000*D16,0)</f>
        <v>0</v>
      </c>
      <c r="F16" s="52">
        <f t="shared" si="0"/>
        <v>0</v>
      </c>
      <c r="G16" s="53">
        <f t="shared" si="1"/>
        <v>0</v>
      </c>
      <c r="H16" s="54" t="e">
        <f>VLOOKUP($B$4,_TY2026_Increase,4,FALSE)</f>
        <v>#N/A</v>
      </c>
      <c r="I16" s="55" t="e">
        <f>IF(H16=0,"",H16)</f>
        <v>#N/A</v>
      </c>
      <c r="J16" s="97" t="e">
        <f>IF(I16="2022 Voter Approved", G16,0)</f>
        <v>#N/A</v>
      </c>
      <c r="K16" s="95"/>
    </row>
    <row r="17" spans="1:11" ht="15" customHeight="1">
      <c r="A17" s="96" t="s">
        <v>56</v>
      </c>
      <c r="B17" s="56">
        <f>IF(ISNUMBER(VLOOKUP($B$4,_TCA2026,5,FALSE)),VLOOKUP($B$4,_TCA2026,5,FALSE),0)</f>
        <v>0</v>
      </c>
      <c r="C17" s="50">
        <f t="shared" si="2"/>
        <v>0</v>
      </c>
      <c r="D17" s="67">
        <f>IF(ISNUMBER(VLOOKUP($B$4,_TCA2025,5,FALSE)),VLOOKUP($B$4,_TCA2025,5,FALSE),0)</f>
        <v>0</v>
      </c>
      <c r="E17" s="51">
        <f t="shared" si="3"/>
        <v>0</v>
      </c>
      <c r="F17" s="52">
        <f t="shared" si="0"/>
        <v>0</v>
      </c>
      <c r="G17" s="53">
        <f t="shared" si="1"/>
        <v>0</v>
      </c>
      <c r="H17" s="54" t="e">
        <f>VLOOKUP($B$4,_TY2026_Increase,5,FALSE)</f>
        <v>#N/A</v>
      </c>
      <c r="I17" s="55" t="e">
        <f>IF(H17=0,"",H17)</f>
        <v>#N/A</v>
      </c>
      <c r="J17" s="97" t="e">
        <f t="shared" ref="J17:J32" si="4">IF(I17="2022 Voter Approved", G17,0)</f>
        <v>#N/A</v>
      </c>
      <c r="K17" s="95"/>
    </row>
    <row r="18" spans="1:11" ht="15" customHeight="1">
      <c r="A18" s="96" t="s">
        <v>53</v>
      </c>
      <c r="B18" s="56">
        <f>IF(ISNUMBER(VLOOKUP($B$4,_TCA2026,6,FALSE)),VLOOKUP($B$4,_TCA2026,6,FALSE),0)</f>
        <v>0</v>
      </c>
      <c r="C18" s="50">
        <f t="shared" si="2"/>
        <v>0</v>
      </c>
      <c r="D18" s="67">
        <f>IF(ISNUMBER(VLOOKUP($B$4,_TCA2025,6,FALSE)),VLOOKUP($B$4,_TCA2025,6,FALSE),0)</f>
        <v>0</v>
      </c>
      <c r="E18" s="51">
        <f t="shared" si="3"/>
        <v>0</v>
      </c>
      <c r="F18" s="52">
        <f t="shared" si="0"/>
        <v>0</v>
      </c>
      <c r="G18" s="53">
        <f t="shared" si="1"/>
        <v>0</v>
      </c>
      <c r="H18" s="54" t="e">
        <f>VLOOKUP($B$4,_TY2026_Increase,6,FALSE)</f>
        <v>#N/A</v>
      </c>
      <c r="I18" s="55" t="e">
        <f>IF(H18=0,"",H18)</f>
        <v>#N/A</v>
      </c>
      <c r="J18" s="97" t="e">
        <f t="shared" si="4"/>
        <v>#N/A</v>
      </c>
      <c r="K18" s="95"/>
    </row>
    <row r="19" spans="1:11" ht="15" customHeight="1">
      <c r="A19" s="96" t="s">
        <v>55</v>
      </c>
      <c r="B19" s="56">
        <f>IF(ISNUMBER(VLOOKUP($B$4,_TCA2026,7,FALSE)),VLOOKUP($B$4,_TCA2026,7,FALSE),0)</f>
        <v>0</v>
      </c>
      <c r="C19" s="50">
        <f t="shared" si="2"/>
        <v>0</v>
      </c>
      <c r="D19" s="67">
        <f>IF(ISNUMBER(VLOOKUP($B$4,_TCA2025,7,FALSE)),VLOOKUP($B$4,_TCA2025,7,FALSE),0)</f>
        <v>0</v>
      </c>
      <c r="E19" s="51">
        <f t="shared" si="3"/>
        <v>0</v>
      </c>
      <c r="F19" s="52">
        <f t="shared" si="0"/>
        <v>0</v>
      </c>
      <c r="G19" s="53">
        <f t="shared" si="1"/>
        <v>0</v>
      </c>
      <c r="H19" s="54" t="e">
        <f>VLOOKUP($B$4,_TY2026_Increase,7,FALSE)</f>
        <v>#N/A</v>
      </c>
      <c r="I19" s="55" t="e">
        <f>IF(H19=0,"",H19)</f>
        <v>#N/A</v>
      </c>
      <c r="J19" s="97" t="e">
        <f t="shared" si="4"/>
        <v>#N/A</v>
      </c>
      <c r="K19" s="95"/>
    </row>
    <row r="20" spans="1:11" ht="15.75">
      <c r="A20" s="96" t="s">
        <v>108</v>
      </c>
      <c r="B20" s="56">
        <f>IF(ISNUMBER(VLOOKUP($B$4,_TCA2026,8,FALSE)),VLOOKUP($B$4,_TCA2026,8,FALSE),0)</f>
        <v>0</v>
      </c>
      <c r="C20" s="50">
        <f t="shared" si="2"/>
        <v>0</v>
      </c>
      <c r="D20" s="67">
        <f>IF(ISNUMBER(VLOOKUP($B$4,_TCA2025,8,FALSE)),VLOOKUP($B$4,_TCA2025,8,FALSE),0)</f>
        <v>0</v>
      </c>
      <c r="E20" s="51">
        <f t="shared" si="3"/>
        <v>0</v>
      </c>
      <c r="F20" s="52">
        <f t="shared" si="0"/>
        <v>0</v>
      </c>
      <c r="G20" s="53">
        <f t="shared" si="1"/>
        <v>0</v>
      </c>
      <c r="H20" s="54" t="e">
        <f>VLOOKUP($B$4,_TY2026_Increase,8,FALSE)</f>
        <v>#N/A</v>
      </c>
      <c r="I20" s="55" t="e">
        <f t="shared" ref="I20:I32" si="5">IF(H20=0,"",H20)</f>
        <v>#N/A</v>
      </c>
      <c r="J20" s="97" t="e">
        <f t="shared" si="4"/>
        <v>#N/A</v>
      </c>
      <c r="K20" s="95"/>
    </row>
    <row r="21" spans="1:11" ht="15.75">
      <c r="A21" s="96" t="s">
        <v>106</v>
      </c>
      <c r="B21" s="56">
        <f>IF(ISNUMBER(VLOOKUP($B$4,_TCA2026,9,FALSE)),VLOOKUP($B$4,_TCA2026,9,FALSE),0)</f>
        <v>0</v>
      </c>
      <c r="C21" s="50">
        <f t="shared" si="2"/>
        <v>0</v>
      </c>
      <c r="D21" s="67">
        <f>IF(ISNUMBER(VLOOKUP($B$4,_TCA2025,9,FALSE)),VLOOKUP($B$4,_TCA2025,9,FALSE),0)</f>
        <v>0</v>
      </c>
      <c r="E21" s="51">
        <f t="shared" si="3"/>
        <v>0</v>
      </c>
      <c r="F21" s="52">
        <f t="shared" si="0"/>
        <v>0</v>
      </c>
      <c r="G21" s="53">
        <f t="shared" si="1"/>
        <v>0</v>
      </c>
      <c r="H21" s="54" t="e">
        <f>VLOOKUP($B$4,_TY2026_Increase,9,FALSE)</f>
        <v>#N/A</v>
      </c>
      <c r="I21" s="55" t="e">
        <f t="shared" si="5"/>
        <v>#N/A</v>
      </c>
      <c r="J21" s="97" t="e">
        <f t="shared" si="4"/>
        <v>#N/A</v>
      </c>
      <c r="K21" s="95"/>
    </row>
    <row r="22" spans="1:11" ht="15.75">
      <c r="A22" s="96" t="s">
        <v>13</v>
      </c>
      <c r="B22" s="56">
        <f>IF(ISNUMBER(VLOOKUP($B$4,_TCA2026,10,FALSE)),VLOOKUP($B$4,_TCA2026,10,FALSE),0)</f>
        <v>0</v>
      </c>
      <c r="C22" s="50">
        <f t="shared" si="2"/>
        <v>0</v>
      </c>
      <c r="D22" s="67">
        <f>IF(ISNUMBER(VLOOKUP($B$4,_TCA2025,10,FALSE)),VLOOKUP($B$4,_TCA2025,10,FALSE),0)</f>
        <v>0</v>
      </c>
      <c r="E22" s="51">
        <f t="shared" si="3"/>
        <v>0</v>
      </c>
      <c r="F22" s="52">
        <f t="shared" si="0"/>
        <v>0</v>
      </c>
      <c r="G22" s="53">
        <f t="shared" si="1"/>
        <v>0</v>
      </c>
      <c r="H22" s="54" t="e">
        <f>VLOOKUP($B$4,_TY2026_Increase,10,FALSE)</f>
        <v>#N/A</v>
      </c>
      <c r="I22" s="55" t="e">
        <f t="shared" si="5"/>
        <v>#N/A</v>
      </c>
      <c r="J22" s="97" t="e">
        <f t="shared" si="4"/>
        <v>#N/A</v>
      </c>
      <c r="K22" s="95"/>
    </row>
    <row r="23" spans="1:11" ht="15.75">
      <c r="A23" s="96" t="s">
        <v>36</v>
      </c>
      <c r="B23" s="56">
        <f>IF(ISNUMBER(VLOOKUP($B$4,_TCA2026,11,FALSE)),VLOOKUP($B$4,_TCA2026,11,FALSE),0)</f>
        <v>0</v>
      </c>
      <c r="C23" s="50">
        <f t="shared" si="2"/>
        <v>0</v>
      </c>
      <c r="D23" s="67">
        <f>IF(ISNUMBER(VLOOKUP($B$4,_TCA2025,11,FALSE)),VLOOKUP($B$4,_TCA2025,11,FALSE),0)</f>
        <v>0</v>
      </c>
      <c r="E23" s="51">
        <f t="shared" si="3"/>
        <v>0</v>
      </c>
      <c r="F23" s="52">
        <f t="shared" si="0"/>
        <v>0</v>
      </c>
      <c r="G23" s="53">
        <f t="shared" si="1"/>
        <v>0</v>
      </c>
      <c r="H23" s="54" t="e">
        <f>VLOOKUP($B$4,_TY2026_Increase,11,FALSE)</f>
        <v>#N/A</v>
      </c>
      <c r="I23" s="55" t="e">
        <f t="shared" si="5"/>
        <v>#N/A</v>
      </c>
      <c r="J23" s="97" t="e">
        <f t="shared" si="4"/>
        <v>#N/A</v>
      </c>
      <c r="K23" s="95"/>
    </row>
    <row r="24" spans="1:11" ht="15.75">
      <c r="A24" s="96" t="s">
        <v>114</v>
      </c>
      <c r="B24" s="56">
        <f>IF(ISNUMBER(VLOOKUP($B$4,_TCA2026,15,FALSE)),VLOOKUP($B$4,_TCA2026,15,FALSE),0)</f>
        <v>0</v>
      </c>
      <c r="C24" s="50">
        <f t="shared" si="2"/>
        <v>0</v>
      </c>
      <c r="D24" s="67">
        <f>IF(ISNUMBER(VLOOKUP($B$4,_TCA2025,15,FALSE)),VLOOKUP($B$4,_TCA2025,15,FALSE),0)</f>
        <v>0</v>
      </c>
      <c r="E24" s="51">
        <f t="shared" si="3"/>
        <v>0</v>
      </c>
      <c r="F24" s="52">
        <f t="shared" si="0"/>
        <v>0</v>
      </c>
      <c r="G24" s="53">
        <f t="shared" si="1"/>
        <v>0</v>
      </c>
      <c r="H24" s="54" t="e">
        <f>VLOOKUP($B$4,_TY2026_Increase,15,FALSE)</f>
        <v>#N/A</v>
      </c>
      <c r="I24" s="55" t="e">
        <f>IF(H24=0,"",H24)</f>
        <v>#N/A</v>
      </c>
      <c r="J24" s="97" t="e">
        <f t="shared" si="4"/>
        <v>#N/A</v>
      </c>
      <c r="K24" s="95"/>
    </row>
    <row r="25" spans="1:11" ht="15.75">
      <c r="A25" s="96" t="s">
        <v>119</v>
      </c>
      <c r="B25" s="56">
        <f>IF(ISNUMBER(VLOOKUP($B$4,_TCA2026,16,FALSE)),VLOOKUP($B$4,_TCA2026,16,FALSE),0)</f>
        <v>0</v>
      </c>
      <c r="C25" s="50">
        <f t="shared" si="2"/>
        <v>0</v>
      </c>
      <c r="D25" s="67">
        <f>IF(ISNUMBER(VLOOKUP($B$4,_TCA2025,20,FALSE)),VLOOKUP($B$4,_TCA2025,15,FALSE),0)</f>
        <v>0</v>
      </c>
      <c r="E25" s="51">
        <f t="shared" si="3"/>
        <v>0</v>
      </c>
      <c r="F25" s="52">
        <f t="shared" si="0"/>
        <v>0</v>
      </c>
      <c r="G25" s="53">
        <f t="shared" si="1"/>
        <v>0</v>
      </c>
      <c r="H25" s="54" t="e">
        <f>VLOOKUP($B$4,_TY2026_Increase,16,FALSE)</f>
        <v>#N/A</v>
      </c>
      <c r="I25" s="55" t="e">
        <f t="shared" si="5"/>
        <v>#N/A</v>
      </c>
      <c r="J25" s="97"/>
      <c r="K25" s="95"/>
    </row>
    <row r="26" spans="1:11" ht="15.75">
      <c r="A26" s="96" t="s">
        <v>63</v>
      </c>
      <c r="B26" s="56">
        <f>IF(ISNUMBER(VLOOKUP($B$4,_TCA2026,12,FALSE)),VLOOKUP($B$4,_TCA2026,12,FALSE),0)</f>
        <v>0</v>
      </c>
      <c r="C26" s="50">
        <f t="shared" si="2"/>
        <v>0</v>
      </c>
      <c r="D26" s="67">
        <f>IF(ISNUMBER(VLOOKUP($B$4,_TCA2025,12,FALSE)),VLOOKUP($B$4,_TCA2025,12,FALSE),0)</f>
        <v>0</v>
      </c>
      <c r="E26" s="51">
        <f t="shared" si="3"/>
        <v>0</v>
      </c>
      <c r="F26" s="52">
        <f t="shared" si="0"/>
        <v>0</v>
      </c>
      <c r="G26" s="53">
        <f t="shared" si="1"/>
        <v>0</v>
      </c>
      <c r="H26" s="54" t="e">
        <f>VLOOKUP($B$4,_TY2026_Increase,12,FALSE)</f>
        <v>#N/A</v>
      </c>
      <c r="I26" s="55" t="e">
        <f t="shared" si="5"/>
        <v>#N/A</v>
      </c>
      <c r="J26" s="97" t="e">
        <f t="shared" si="4"/>
        <v>#N/A</v>
      </c>
      <c r="K26" s="95"/>
    </row>
    <row r="27" spans="1:11" ht="15.75">
      <c r="A27" s="96" t="s">
        <v>64</v>
      </c>
      <c r="B27" s="56">
        <f>IF(ISNUMBER(VLOOKUP($B$4,_TCA2026,13,FALSE)),VLOOKUP($B$4,_TCA2026,13,FALSE),0)</f>
        <v>0</v>
      </c>
      <c r="C27" s="50">
        <f t="shared" si="2"/>
        <v>0</v>
      </c>
      <c r="D27" s="67">
        <f>IF(ISNUMBER(VLOOKUP($B$4,_TCA2025,13,FALSE)),VLOOKUP($B$4,_TCA2025,13,FALSE),0)</f>
        <v>0</v>
      </c>
      <c r="E27" s="51">
        <f t="shared" si="3"/>
        <v>0</v>
      </c>
      <c r="F27" s="52">
        <f t="shared" si="0"/>
        <v>0</v>
      </c>
      <c r="G27" s="53">
        <f t="shared" si="1"/>
        <v>0</v>
      </c>
      <c r="H27" s="54" t="e">
        <f>VLOOKUP($B$4,_TY2026_Increase,13,FALSE)</f>
        <v>#N/A</v>
      </c>
      <c r="I27" s="55" t="e">
        <f t="shared" si="5"/>
        <v>#N/A</v>
      </c>
      <c r="J27" s="97" t="e">
        <f t="shared" si="4"/>
        <v>#N/A</v>
      </c>
      <c r="K27" s="95"/>
    </row>
    <row r="28" spans="1:11" ht="15.75">
      <c r="A28" s="96" t="s">
        <v>65</v>
      </c>
      <c r="B28" s="56">
        <f>IF(ISNUMBER(VLOOKUP($B$4,_TCA2026,14,FALSE)),VLOOKUP($B$4,_TCA2026,14,FALSE),0)</f>
        <v>0</v>
      </c>
      <c r="C28" s="50">
        <f t="shared" si="2"/>
        <v>0</v>
      </c>
      <c r="D28" s="67">
        <f>IF(ISNUMBER(VLOOKUP($B$4,_TCA2025,14,FALSE)),VLOOKUP($B$4,_TCA2025,14,FALSE),0)</f>
        <v>0</v>
      </c>
      <c r="E28" s="51">
        <f t="shared" si="3"/>
        <v>0</v>
      </c>
      <c r="F28" s="52">
        <f t="shared" si="0"/>
        <v>0</v>
      </c>
      <c r="G28" s="53">
        <f t="shared" si="1"/>
        <v>0</v>
      </c>
      <c r="H28" s="54" t="e">
        <f>VLOOKUP($B$4,_TY2026_Increase,14,FALSE)</f>
        <v>#N/A</v>
      </c>
      <c r="I28" s="55" t="e">
        <f t="shared" si="5"/>
        <v>#N/A</v>
      </c>
      <c r="J28" s="97" t="e">
        <f t="shared" si="4"/>
        <v>#N/A</v>
      </c>
      <c r="K28" s="95"/>
    </row>
    <row r="29" spans="1:11" ht="15.75">
      <c r="A29" s="96" t="s">
        <v>66</v>
      </c>
      <c r="B29" s="56">
        <f>IF(ISNUMBER(VLOOKUP($B$4,_TCA2026,19,FALSE)),VLOOKUP($B$4,_TCA2026,19,FALSE),0)</f>
        <v>0</v>
      </c>
      <c r="C29" s="50">
        <f t="shared" si="2"/>
        <v>0</v>
      </c>
      <c r="D29" s="67">
        <f>IF(ISNUMBER(VLOOKUP($B$4,_TCA2025,18,FALSE)),VLOOKUP($B$4,_TCA2025,18,FALSE),0)</f>
        <v>0</v>
      </c>
      <c r="E29" s="51">
        <f t="shared" si="3"/>
        <v>0</v>
      </c>
      <c r="F29" s="52">
        <f t="shared" si="0"/>
        <v>0</v>
      </c>
      <c r="G29" s="53">
        <f t="shared" si="1"/>
        <v>0</v>
      </c>
      <c r="H29" s="54" t="e">
        <f>VLOOKUP($B$4,_TY2026_Increase,19,FALSE)</f>
        <v>#N/A</v>
      </c>
      <c r="I29" s="55" t="e">
        <f t="shared" si="5"/>
        <v>#N/A</v>
      </c>
      <c r="J29" s="97" t="e">
        <f t="shared" si="4"/>
        <v>#N/A</v>
      </c>
      <c r="K29" s="95"/>
    </row>
    <row r="30" spans="1:11" ht="15.75">
      <c r="A30" s="96" t="s">
        <v>67</v>
      </c>
      <c r="B30" s="56">
        <f>IF(ISNUMBER(VLOOKUP($B$4,_TCA2026,17,FALSE)),VLOOKUP($B$4,_TCA2026,17,FALSE),0)</f>
        <v>0</v>
      </c>
      <c r="C30" s="50">
        <f t="shared" si="2"/>
        <v>0</v>
      </c>
      <c r="D30" s="67">
        <f>IF(ISNUMBER(VLOOKUP($B$4,_TCA2025,16,FALSE)),VLOOKUP($B$4,_TCA2025,16,FALSE),0)</f>
        <v>0</v>
      </c>
      <c r="E30" s="51">
        <f t="shared" si="3"/>
        <v>0</v>
      </c>
      <c r="F30" s="52">
        <f t="shared" si="0"/>
        <v>0</v>
      </c>
      <c r="G30" s="53">
        <f t="shared" si="1"/>
        <v>0</v>
      </c>
      <c r="H30" s="54" t="e">
        <f>VLOOKUP($B$4,_TY2026_Increase,17,FALSE)</f>
        <v>#N/A</v>
      </c>
      <c r="I30" s="55" t="e">
        <f t="shared" si="5"/>
        <v>#N/A</v>
      </c>
      <c r="J30" s="97" t="e">
        <f t="shared" si="4"/>
        <v>#N/A</v>
      </c>
      <c r="K30" s="95"/>
    </row>
    <row r="31" spans="1:11" ht="15.75">
      <c r="A31" s="96" t="s">
        <v>18</v>
      </c>
      <c r="B31" s="56">
        <f>IF(ISNUMBER(VLOOKUP($B$4,_TCA2026,18,FALSE)),VLOOKUP($B$4,_TCA2026,18,FALSE),0)</f>
        <v>0</v>
      </c>
      <c r="C31" s="50">
        <f t="shared" si="2"/>
        <v>0</v>
      </c>
      <c r="D31" s="67">
        <f>IF(ISNUMBER(VLOOKUP($B$4,_TCA2025,17,FALSE)),VLOOKUP($B$4,_TCA2025,17,FALSE),0)</f>
        <v>0</v>
      </c>
      <c r="E31" s="51">
        <f t="shared" si="3"/>
        <v>0</v>
      </c>
      <c r="F31" s="52">
        <f t="shared" si="0"/>
        <v>0</v>
      </c>
      <c r="G31" s="53">
        <f t="shared" si="1"/>
        <v>0</v>
      </c>
      <c r="H31" s="54" t="e">
        <f>VLOOKUP($B$4,_TY2026_Increase,18,FALSE)</f>
        <v>#N/A</v>
      </c>
      <c r="I31" s="55" t="e">
        <f t="shared" si="5"/>
        <v>#N/A</v>
      </c>
      <c r="J31" s="97" t="e">
        <f t="shared" si="4"/>
        <v>#N/A</v>
      </c>
      <c r="K31" s="95"/>
    </row>
    <row r="32" spans="1:11" ht="16.5" thickBot="1">
      <c r="A32" s="98" t="s">
        <v>37</v>
      </c>
      <c r="B32" s="57">
        <f>IF(ISNUMBER(VLOOKUP($B$4,_TCA2026,20,FALSE)),VLOOKUP($B$4,_TCA2026,20,FALSE),0)</f>
        <v>0</v>
      </c>
      <c r="C32" s="58">
        <f t="shared" si="2"/>
        <v>0</v>
      </c>
      <c r="D32" s="110">
        <f>IF(ISNUMBER(VLOOKUP($B$4,_TCA2025,19,FALSE)),VLOOKUP($B$4,_TCA2025,19,FALSE),0)</f>
        <v>0</v>
      </c>
      <c r="E32" s="111">
        <f t="shared" si="3"/>
        <v>0</v>
      </c>
      <c r="F32" s="59">
        <f t="shared" si="0"/>
        <v>0</v>
      </c>
      <c r="G32" s="60">
        <f t="shared" si="1"/>
        <v>0</v>
      </c>
      <c r="H32" s="61" t="e">
        <f>VLOOKUP($B$4,_TY2026_Increase,20,FALSE)</f>
        <v>#N/A</v>
      </c>
      <c r="I32" s="62" t="e">
        <f t="shared" si="5"/>
        <v>#N/A</v>
      </c>
      <c r="J32" s="99" t="e">
        <f t="shared" si="4"/>
        <v>#N/A</v>
      </c>
    </row>
    <row r="33" spans="1:12" s="104" customFormat="1" ht="21">
      <c r="A33" s="75" t="s">
        <v>0</v>
      </c>
      <c r="B33" s="100">
        <f t="shared" ref="B33:G33" si="6">SUM(B15:B32)</f>
        <v>0</v>
      </c>
      <c r="C33" s="101">
        <f>IF(ISNUMBER((B$7/1000*B33)),B$7/1000*B33,0)</f>
        <v>0</v>
      </c>
      <c r="D33" s="100">
        <f t="shared" si="6"/>
        <v>0</v>
      </c>
      <c r="E33" s="101">
        <f t="shared" si="6"/>
        <v>0</v>
      </c>
      <c r="F33" s="100">
        <f t="shared" si="6"/>
        <v>0</v>
      </c>
      <c r="G33" s="101">
        <f t="shared" si="6"/>
        <v>0</v>
      </c>
      <c r="H33" s="102"/>
      <c r="I33" s="90"/>
      <c r="J33" s="103" t="e">
        <f>SUM(J15:J32)</f>
        <v>#N/A</v>
      </c>
    </row>
    <row r="34" spans="1:12" ht="21">
      <c r="A34" s="75" t="s">
        <v>125</v>
      </c>
      <c r="B34" s="95"/>
      <c r="C34" s="95"/>
      <c r="D34" s="95"/>
      <c r="E34" s="95"/>
      <c r="F34" s="95"/>
      <c r="G34" s="109" t="e">
        <f>G33/E33</f>
        <v>#DIV/0!</v>
      </c>
      <c r="L34" s="106"/>
    </row>
    <row r="35" spans="1:12" ht="15.75" thickBot="1">
      <c r="C35" s="107"/>
      <c r="D35" s="107"/>
      <c r="E35" s="107"/>
    </row>
    <row r="36" spans="1:12" ht="22.5" thickTop="1" thickBot="1">
      <c r="A36" s="105"/>
      <c r="B36" s="120" t="s">
        <v>74</v>
      </c>
      <c r="C36" s="121"/>
      <c r="D36" s="121"/>
      <c r="E36" s="121"/>
      <c r="F36" s="121"/>
      <c r="G36" s="122"/>
    </row>
    <row r="37" spans="1:12" ht="21.75" thickTop="1">
      <c r="A37" s="108"/>
      <c r="B37" s="107"/>
      <c r="C37" s="107"/>
      <c r="D37" s="107"/>
      <c r="E37" s="107"/>
      <c r="F37" s="107"/>
      <c r="G37" s="107"/>
    </row>
    <row r="38" spans="1:12">
      <c r="E38" s="107"/>
    </row>
    <row r="39" spans="1:12">
      <c r="E39" s="107"/>
    </row>
    <row r="40" spans="1:12">
      <c r="E40" s="107"/>
    </row>
    <row r="41" spans="1:12">
      <c r="E41" s="107"/>
    </row>
    <row r="42" spans="1:12">
      <c r="E42" s="107"/>
      <c r="K42" s="107"/>
      <c r="L42" s="107"/>
    </row>
    <row r="43" spans="1:12">
      <c r="I43" s="106"/>
    </row>
    <row r="44" spans="1:12">
      <c r="I44" s="106"/>
    </row>
  </sheetData>
  <sheetProtection algorithmName="SHA-512" hashValue="7I3BdqdpCUjrRugP8ayWQRQ3p/+pUKaHBfVkuLHQCQj+KjSdAWHOSxFnGLYUzw6053DsZx8GQvPL7vwB82eUJw==" saltValue="Y/FXIEjYtnUUsPQ1h2wIRg==" spinCount="100000" sheet="1" selectLockedCells="1"/>
  <mergeCells count="17">
    <mergeCell ref="B1:I1"/>
    <mergeCell ref="F6:G6"/>
    <mergeCell ref="D7:E7"/>
    <mergeCell ref="F7:G7"/>
    <mergeCell ref="B8:C8"/>
    <mergeCell ref="D8:E8"/>
    <mergeCell ref="B6:C6"/>
    <mergeCell ref="B7:C7"/>
    <mergeCell ref="D6:E6"/>
    <mergeCell ref="B2:I2"/>
    <mergeCell ref="D13:E13"/>
    <mergeCell ref="B12:G12"/>
    <mergeCell ref="B10:G10"/>
    <mergeCell ref="B11:G11"/>
    <mergeCell ref="B36:G36"/>
    <mergeCell ref="F13:G13"/>
    <mergeCell ref="B13:C13"/>
  </mergeCells>
  <hyperlinks>
    <hyperlink ref="B11:G11" r:id="rId1" display="San Juan County website: https://parcel.sanjuanco.com/PropertyAccess/PropertySearch.aspx?cid=0" xr:uid="{C2F7C611-4C62-4EEA-B7A7-488F9C77F569}"/>
  </hyperlinks>
  <pageMargins left="0.7" right="0.7" top="0.75" bottom="0.75" header="0.3" footer="0.3"/>
  <pageSetup scale="67" orientation="landscape"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90BDC-DFF7-4ADC-AAFF-7FE3BAE1CF1D}">
  <dimension ref="A1:X80"/>
  <sheetViews>
    <sheetView topLeftCell="F1" workbookViewId="0">
      <selection activeCell="N17" sqref="N17"/>
    </sheetView>
  </sheetViews>
  <sheetFormatPr defaultRowHeight="15"/>
  <cols>
    <col min="1" max="1" width="15.7109375" bestFit="1" customWidth="1"/>
    <col min="2" max="2" width="18.5703125" bestFit="1" customWidth="1"/>
    <col min="3" max="3" width="19.140625" customWidth="1"/>
    <col min="4" max="4" width="26.7109375" bestFit="1" customWidth="1"/>
    <col min="5" max="5" width="28.7109375" bestFit="1" customWidth="1"/>
    <col min="6" max="6" width="30.5703125" customWidth="1"/>
    <col min="7" max="7" width="24.28515625" bestFit="1" customWidth="1"/>
    <col min="8" max="8" width="17" bestFit="1" customWidth="1"/>
    <col min="9" max="9" width="15.28515625" bestFit="1" customWidth="1"/>
    <col min="10" max="10" width="17.42578125" customWidth="1"/>
    <col min="11" max="11" width="16.5703125" customWidth="1"/>
    <col min="12" max="12" width="14.85546875" bestFit="1" customWidth="1"/>
    <col min="13" max="13" width="14.7109375" bestFit="1" customWidth="1"/>
    <col min="14" max="14" width="15" bestFit="1" customWidth="1"/>
    <col min="15" max="16" width="14.85546875" bestFit="1" customWidth="1"/>
    <col min="17" max="18" width="15" bestFit="1" customWidth="1"/>
    <col min="19" max="19" width="14.85546875" bestFit="1" customWidth="1"/>
    <col min="20" max="20" width="22.42578125" bestFit="1" customWidth="1"/>
    <col min="21" max="21" width="15" bestFit="1" customWidth="1"/>
    <col min="22" max="22" width="21" bestFit="1" customWidth="1"/>
    <col min="23" max="23" width="12.5703125" bestFit="1" customWidth="1"/>
    <col min="24" max="24" width="21.28515625" customWidth="1"/>
  </cols>
  <sheetData>
    <row r="1" spans="1:24" s="2" customFormat="1" ht="54" customHeight="1">
      <c r="A1" s="143" t="s">
        <v>115</v>
      </c>
      <c r="B1" s="144"/>
      <c r="C1" s="144"/>
      <c r="D1" s="144"/>
      <c r="E1" s="144"/>
      <c r="F1" s="144"/>
      <c r="G1" s="144"/>
      <c r="H1" s="144"/>
      <c r="I1" s="144"/>
      <c r="J1" s="144"/>
      <c r="K1" s="144"/>
      <c r="L1" s="144"/>
      <c r="M1" s="144"/>
      <c r="N1" s="144"/>
      <c r="O1" s="144"/>
      <c r="P1" s="144"/>
      <c r="Q1" s="144"/>
      <c r="R1" s="144"/>
      <c r="S1" s="144"/>
      <c r="T1" s="144"/>
      <c r="U1" s="144"/>
      <c r="V1" s="144"/>
    </row>
    <row r="2" spans="1:24" ht="33">
      <c r="A2" s="145" t="s">
        <v>116</v>
      </c>
      <c r="B2" s="145"/>
      <c r="C2" s="145"/>
      <c r="D2" s="145"/>
      <c r="E2" s="145"/>
      <c r="F2" s="145"/>
      <c r="G2" s="145"/>
      <c r="H2" s="145"/>
      <c r="I2" s="145"/>
      <c r="J2" s="145"/>
      <c r="K2" s="145"/>
      <c r="L2" s="145"/>
      <c r="M2" s="145"/>
      <c r="N2" s="145"/>
      <c r="O2" s="145"/>
      <c r="P2" s="145"/>
      <c r="Q2" s="145"/>
      <c r="R2" s="145"/>
      <c r="S2" s="145"/>
      <c r="T2" s="145"/>
      <c r="U2" s="13"/>
      <c r="V2" s="13"/>
    </row>
    <row r="3" spans="1:24" ht="14.45" customHeight="1">
      <c r="A3" s="146" t="s">
        <v>32</v>
      </c>
      <c r="B3" s="149" t="s">
        <v>33</v>
      </c>
      <c r="C3" s="140" t="s">
        <v>34</v>
      </c>
      <c r="D3" s="140" t="s">
        <v>12</v>
      </c>
      <c r="E3" s="140" t="s">
        <v>35</v>
      </c>
      <c r="F3" s="140" t="s">
        <v>53</v>
      </c>
      <c r="G3" s="140" t="s">
        <v>54</v>
      </c>
      <c r="H3" s="140" t="s">
        <v>75</v>
      </c>
      <c r="I3" s="140" t="s">
        <v>76</v>
      </c>
      <c r="J3" s="140" t="s">
        <v>77</v>
      </c>
      <c r="K3" s="140" t="s">
        <v>36</v>
      </c>
      <c r="L3" s="140" t="s">
        <v>78</v>
      </c>
      <c r="M3" s="140" t="s">
        <v>79</v>
      </c>
      <c r="N3" s="140" t="s">
        <v>80</v>
      </c>
      <c r="O3" s="140" t="s">
        <v>118</v>
      </c>
      <c r="P3" s="140" t="s">
        <v>117</v>
      </c>
      <c r="Q3" s="140" t="s">
        <v>82</v>
      </c>
      <c r="R3" s="140" t="s">
        <v>18</v>
      </c>
      <c r="S3" s="140" t="s">
        <v>83</v>
      </c>
      <c r="T3" s="140" t="s">
        <v>37</v>
      </c>
      <c r="U3" s="137" t="s">
        <v>38</v>
      </c>
      <c r="V3" s="137" t="s">
        <v>39</v>
      </c>
    </row>
    <row r="4" spans="1:24">
      <c r="A4" s="147"/>
      <c r="B4" s="150"/>
      <c r="C4" s="141"/>
      <c r="D4" s="141"/>
      <c r="E4" s="141"/>
      <c r="F4" s="141"/>
      <c r="G4" s="141"/>
      <c r="H4" s="141"/>
      <c r="I4" s="141"/>
      <c r="J4" s="141"/>
      <c r="K4" s="141"/>
      <c r="L4" s="141"/>
      <c r="M4" s="141"/>
      <c r="N4" s="141"/>
      <c r="O4" s="141"/>
      <c r="P4" s="141"/>
      <c r="Q4" s="141"/>
      <c r="R4" s="141"/>
      <c r="S4" s="141"/>
      <c r="T4" s="141"/>
      <c r="U4" s="138"/>
      <c r="V4" s="138"/>
    </row>
    <row r="5" spans="1:24">
      <c r="A5" s="148"/>
      <c r="B5" s="151"/>
      <c r="C5" s="142"/>
      <c r="D5" s="142"/>
      <c r="E5" s="142"/>
      <c r="F5" s="142"/>
      <c r="G5" s="142"/>
      <c r="H5" s="142"/>
      <c r="I5" s="142"/>
      <c r="J5" s="142"/>
      <c r="K5" s="142"/>
      <c r="L5" s="142"/>
      <c r="M5" s="142"/>
      <c r="N5" s="142"/>
      <c r="O5" s="142"/>
      <c r="P5" s="142"/>
      <c r="Q5" s="142"/>
      <c r="R5" s="142"/>
      <c r="S5" s="142"/>
      <c r="T5" s="142"/>
      <c r="U5" s="139"/>
      <c r="V5" s="139"/>
    </row>
    <row r="6" spans="1:24" ht="15.75">
      <c r="A6" s="3">
        <v>101</v>
      </c>
      <c r="B6" s="4" t="s">
        <v>30</v>
      </c>
      <c r="C6" s="5">
        <v>1.4696062082000001</v>
      </c>
      <c r="D6" s="6">
        <v>0.79241306349999996</v>
      </c>
      <c r="E6" s="6"/>
      <c r="F6" s="7"/>
      <c r="G6" s="6"/>
      <c r="H6" s="5">
        <v>0.54498664760000004</v>
      </c>
      <c r="I6" s="5">
        <v>2.5066709499999999E-2</v>
      </c>
      <c r="J6" s="5">
        <v>0.39385020580000002</v>
      </c>
      <c r="K6" s="5"/>
      <c r="L6" s="5"/>
      <c r="M6" s="5"/>
      <c r="N6" s="8"/>
      <c r="O6" s="5">
        <v>0.4836255075</v>
      </c>
      <c r="P6" s="8"/>
      <c r="Q6" s="8"/>
      <c r="R6" s="8"/>
      <c r="S6" s="8"/>
      <c r="T6" s="8"/>
      <c r="U6" s="14">
        <f>SUM(C6:T6)</f>
        <v>3.7095483420999997</v>
      </c>
      <c r="V6" s="14">
        <f>U6-(D6+E6+F6+G6+P6+T6)</f>
        <v>2.9171352786</v>
      </c>
      <c r="W6" s="1"/>
      <c r="X6" s="1"/>
    </row>
    <row r="7" spans="1:24" ht="15.75">
      <c r="A7" s="3">
        <v>211</v>
      </c>
      <c r="B7" s="4" t="s">
        <v>40</v>
      </c>
      <c r="C7" s="5">
        <v>1.4696062082000001</v>
      </c>
      <c r="D7" s="6">
        <v>0.79241306349999996</v>
      </c>
      <c r="E7" s="6">
        <v>0.57574948410000004</v>
      </c>
      <c r="F7" s="6">
        <v>0.2620111208</v>
      </c>
      <c r="G7" s="6">
        <v>0.2994412809</v>
      </c>
      <c r="H7" s="5">
        <v>0.54498664760000004</v>
      </c>
      <c r="I7" s="5">
        <v>2.5066709499999999E-2</v>
      </c>
      <c r="J7" s="5">
        <v>0.39385020580000002</v>
      </c>
      <c r="K7" s="5"/>
      <c r="L7" s="8"/>
      <c r="M7" s="8"/>
      <c r="N7" s="8"/>
      <c r="O7" s="8" t="s">
        <v>84</v>
      </c>
      <c r="P7" s="8"/>
      <c r="Q7" s="8"/>
      <c r="R7" s="8"/>
      <c r="S7" s="8"/>
      <c r="T7" s="8"/>
      <c r="U7" s="14">
        <f t="shared" ref="U7:U25" si="0">SUM(C7:T7)</f>
        <v>4.3631247204000001</v>
      </c>
      <c r="V7" s="14">
        <f t="shared" ref="V7:V25" si="1">U7-(D7+E7+F7+G7+P7+T7)</f>
        <v>2.4335097711000002</v>
      </c>
      <c r="W7" s="1"/>
      <c r="X7" s="1"/>
    </row>
    <row r="8" spans="1:24" ht="15.75">
      <c r="A8" s="3">
        <v>372</v>
      </c>
      <c r="B8" s="4" t="s">
        <v>41</v>
      </c>
      <c r="C8" s="5">
        <v>1.4696062082000001</v>
      </c>
      <c r="D8" s="6">
        <v>0.79241306349999996</v>
      </c>
      <c r="E8" s="6">
        <v>0.57574948410000004</v>
      </c>
      <c r="F8" s="6">
        <v>0.2620111208</v>
      </c>
      <c r="G8" s="6">
        <v>0.2994412809</v>
      </c>
      <c r="H8" s="5">
        <v>0.54498664760000004</v>
      </c>
      <c r="I8" s="5">
        <v>2.5066709499999999E-2</v>
      </c>
      <c r="J8" s="5">
        <v>0.39385020580000002</v>
      </c>
      <c r="K8" s="5"/>
      <c r="L8" s="8"/>
      <c r="M8" s="8"/>
      <c r="N8" s="8"/>
      <c r="O8" s="8"/>
      <c r="P8" s="8"/>
      <c r="Q8" s="8"/>
      <c r="R8" s="8"/>
      <c r="S8" s="8"/>
      <c r="T8" s="8"/>
      <c r="U8" s="14">
        <f t="shared" si="0"/>
        <v>4.3631247204000001</v>
      </c>
      <c r="V8" s="14">
        <f t="shared" si="1"/>
        <v>2.4335097711000002</v>
      </c>
      <c r="W8" s="1"/>
      <c r="X8" s="1"/>
    </row>
    <row r="9" spans="1:24" ht="15.75">
      <c r="A9" s="3">
        <v>373</v>
      </c>
      <c r="B9" s="4" t="s">
        <v>14</v>
      </c>
      <c r="C9" s="5">
        <v>1.4696062082000001</v>
      </c>
      <c r="D9" s="6">
        <v>0.79241306349999996</v>
      </c>
      <c r="E9" s="6">
        <v>0.57574948410000004</v>
      </c>
      <c r="F9" s="6">
        <v>0.2620111208</v>
      </c>
      <c r="G9" s="6">
        <v>0.2994412809</v>
      </c>
      <c r="H9" s="5">
        <v>0.54498664760000004</v>
      </c>
      <c r="I9" s="5">
        <v>2.5066709499999999E-2</v>
      </c>
      <c r="J9" s="5">
        <v>0.39385020580000002</v>
      </c>
      <c r="K9" s="5"/>
      <c r="L9" s="5">
        <v>5.8990333300000003E-2</v>
      </c>
      <c r="M9" s="5"/>
      <c r="N9" s="5">
        <v>0.41472299010000002</v>
      </c>
      <c r="O9" s="5">
        <v>0.77283903109999996</v>
      </c>
      <c r="P9" s="6">
        <v>0.25857245169999998</v>
      </c>
      <c r="Q9" s="5">
        <v>0.7</v>
      </c>
      <c r="R9" s="5"/>
      <c r="S9" s="5">
        <v>0.1036039466</v>
      </c>
      <c r="T9" s="8"/>
      <c r="U9" s="14">
        <f t="shared" si="0"/>
        <v>6.6718534732000006</v>
      </c>
      <c r="V9" s="14">
        <f t="shared" si="1"/>
        <v>4.4836660722000001</v>
      </c>
      <c r="W9" s="1"/>
      <c r="X9" s="1"/>
    </row>
    <row r="10" spans="1:24" ht="15.75">
      <c r="A10" s="3">
        <v>374</v>
      </c>
      <c r="B10" s="4" t="s">
        <v>42</v>
      </c>
      <c r="C10" s="5">
        <v>1.4696062082000001</v>
      </c>
      <c r="D10" s="6">
        <v>0.79241306349999996</v>
      </c>
      <c r="E10" s="6">
        <v>0.57574948410000004</v>
      </c>
      <c r="F10" s="6">
        <v>0.2620111208</v>
      </c>
      <c r="G10" s="6">
        <v>0.2994412809</v>
      </c>
      <c r="H10" s="5">
        <v>0.54498664760000004</v>
      </c>
      <c r="I10" s="5">
        <v>2.5066709499999999E-2</v>
      </c>
      <c r="J10" s="5">
        <v>0.39385020580000002</v>
      </c>
      <c r="K10" s="5"/>
      <c r="L10" s="5">
        <v>5.8990333300000003E-2</v>
      </c>
      <c r="M10" s="5">
        <v>9.3722978999999998E-3</v>
      </c>
      <c r="N10" s="5">
        <v>0.41472299010000002</v>
      </c>
      <c r="O10" s="5">
        <v>0.77283903109999996</v>
      </c>
      <c r="P10" s="6">
        <v>0.25857245169999998</v>
      </c>
      <c r="Q10" s="5">
        <v>0.7</v>
      </c>
      <c r="R10" s="5"/>
      <c r="S10" s="5">
        <v>0.1036039466</v>
      </c>
      <c r="T10" s="8"/>
      <c r="U10" s="14">
        <f t="shared" si="0"/>
        <v>6.6812257710999994</v>
      </c>
      <c r="V10" s="14">
        <f t="shared" si="1"/>
        <v>4.493038370099999</v>
      </c>
      <c r="W10" s="1"/>
      <c r="X10" s="1"/>
    </row>
    <row r="11" spans="1:24" ht="15.75">
      <c r="A11" s="3">
        <v>375</v>
      </c>
      <c r="B11" s="4" t="s">
        <v>43</v>
      </c>
      <c r="C11" s="5">
        <v>1.4696062082000001</v>
      </c>
      <c r="D11" s="6">
        <v>0.79241306349999996</v>
      </c>
      <c r="E11" s="6">
        <v>0.57574948410000004</v>
      </c>
      <c r="F11" s="6">
        <v>0.2620111208</v>
      </c>
      <c r="G11" s="6">
        <v>0.2994412809</v>
      </c>
      <c r="H11" s="5">
        <v>0.54498664760000004</v>
      </c>
      <c r="I11" s="5">
        <v>2.5066709499999999E-2</v>
      </c>
      <c r="J11" s="5">
        <v>0.39385020580000002</v>
      </c>
      <c r="K11" s="5"/>
      <c r="L11" s="5"/>
      <c r="M11" s="5"/>
      <c r="N11" s="5"/>
      <c r="O11" s="5"/>
      <c r="P11" s="5"/>
      <c r="Q11" s="5">
        <v>0.7</v>
      </c>
      <c r="R11" s="5"/>
      <c r="S11" s="5"/>
      <c r="T11" s="8"/>
      <c r="U11" s="14">
        <f t="shared" si="0"/>
        <v>5.0631247204000003</v>
      </c>
      <c r="V11" s="14">
        <f t="shared" si="1"/>
        <v>3.1335097711000004</v>
      </c>
      <c r="W11" s="1"/>
      <c r="X11" s="1"/>
    </row>
    <row r="12" spans="1:24" ht="15.75">
      <c r="A12" s="3">
        <v>441</v>
      </c>
      <c r="B12" s="4" t="s">
        <v>44</v>
      </c>
      <c r="C12" s="5">
        <v>1.4696062082000001</v>
      </c>
      <c r="D12" s="6">
        <v>0.79241306349999996</v>
      </c>
      <c r="E12" s="6">
        <v>0.57574948410000004</v>
      </c>
      <c r="F12" s="6">
        <v>0.2620111208</v>
      </c>
      <c r="G12" s="6">
        <v>0.2994412809</v>
      </c>
      <c r="H12" s="5">
        <v>0.54498664760000004</v>
      </c>
      <c r="I12" s="5">
        <v>2.5066709499999999E-2</v>
      </c>
      <c r="J12" s="5">
        <v>0.39385020580000002</v>
      </c>
      <c r="K12" s="5"/>
      <c r="L12" s="8" t="s">
        <v>84</v>
      </c>
      <c r="M12" s="8"/>
      <c r="N12" s="8"/>
      <c r="O12" s="8" t="s">
        <v>84</v>
      </c>
      <c r="P12" s="8"/>
      <c r="Q12" s="8"/>
      <c r="R12" s="5"/>
      <c r="S12" s="5"/>
      <c r="T12" s="8"/>
      <c r="U12" s="14">
        <f t="shared" si="0"/>
        <v>4.3631247204000001</v>
      </c>
      <c r="V12" s="14">
        <f t="shared" si="1"/>
        <v>2.4335097711000002</v>
      </c>
      <c r="W12" s="1"/>
      <c r="X12" s="1"/>
    </row>
    <row r="13" spans="1:24" ht="15.75">
      <c r="A13" s="3">
        <v>442</v>
      </c>
      <c r="B13" s="4" t="s">
        <v>15</v>
      </c>
      <c r="C13" s="5">
        <v>1.4696062082000001</v>
      </c>
      <c r="D13" s="6">
        <v>0.79241306349999996</v>
      </c>
      <c r="E13" s="6">
        <v>0.2962568029</v>
      </c>
      <c r="F13" s="6">
        <v>0.34160381439999998</v>
      </c>
      <c r="G13" s="6">
        <v>0.29660559240000001</v>
      </c>
      <c r="H13" s="5">
        <v>0.54498664760000004</v>
      </c>
      <c r="I13" s="5">
        <v>2.5066709499999999E-2</v>
      </c>
      <c r="J13" s="5">
        <v>0.39385020580000002</v>
      </c>
      <c r="K13" s="5"/>
      <c r="L13" s="5">
        <v>4.8938804599999997E-2</v>
      </c>
      <c r="M13" s="5"/>
      <c r="N13" s="5">
        <v>0.48</v>
      </c>
      <c r="O13" s="5">
        <v>0.47051103989999998</v>
      </c>
      <c r="P13" s="5"/>
      <c r="Q13" s="5">
        <v>0.75</v>
      </c>
      <c r="R13" s="5">
        <v>0.34573688590000001</v>
      </c>
      <c r="S13" s="5"/>
      <c r="T13" s="6">
        <v>9.2129240398821949E-2</v>
      </c>
      <c r="U13" s="14">
        <f t="shared" si="0"/>
        <v>6.3477050150988212</v>
      </c>
      <c r="V13" s="14">
        <f t="shared" si="1"/>
        <v>4.5286965014999989</v>
      </c>
      <c r="W13" s="1"/>
      <c r="X13" s="1"/>
    </row>
    <row r="14" spans="1:24" ht="15.75">
      <c r="A14" s="3">
        <v>443</v>
      </c>
      <c r="B14" s="4" t="s">
        <v>45</v>
      </c>
      <c r="C14" s="5">
        <v>1.4696062082000001</v>
      </c>
      <c r="D14" s="6">
        <v>0.79241306349999996</v>
      </c>
      <c r="E14" s="6">
        <v>0.2962568029</v>
      </c>
      <c r="F14" s="6">
        <v>0.34160381439999998</v>
      </c>
      <c r="G14" s="6">
        <v>0.29660559240000001</v>
      </c>
      <c r="H14" s="5">
        <v>0.54498664760000004</v>
      </c>
      <c r="I14" s="5">
        <v>2.5066709499999999E-2</v>
      </c>
      <c r="J14" s="5">
        <v>0.39385020580000002</v>
      </c>
      <c r="K14" s="5"/>
      <c r="L14" s="8"/>
      <c r="M14" s="8"/>
      <c r="N14" s="8"/>
      <c r="O14" s="8"/>
      <c r="P14" s="8"/>
      <c r="Q14" s="8"/>
      <c r="R14" s="5"/>
      <c r="S14" s="5"/>
      <c r="T14" s="8"/>
      <c r="U14" s="14">
        <f t="shared" si="0"/>
        <v>4.1603890442999996</v>
      </c>
      <c r="V14" s="14">
        <f t="shared" si="1"/>
        <v>2.4335097710999998</v>
      </c>
      <c r="W14" s="1"/>
      <c r="X14" s="1"/>
    </row>
    <row r="15" spans="1:24" ht="15.75">
      <c r="A15" s="3">
        <v>444</v>
      </c>
      <c r="B15" s="4" t="s">
        <v>46</v>
      </c>
      <c r="C15" s="5">
        <v>1.4696062082000001</v>
      </c>
      <c r="D15" s="6">
        <v>0.79241306349999996</v>
      </c>
      <c r="E15" s="6">
        <v>0.2962568029</v>
      </c>
      <c r="F15" s="6">
        <v>0.34160381439999998</v>
      </c>
      <c r="G15" s="6">
        <v>0.29660559240000001</v>
      </c>
      <c r="H15" s="5">
        <v>0.54498664760000004</v>
      </c>
      <c r="I15" s="5">
        <v>2.5066709499999999E-2</v>
      </c>
      <c r="J15" s="5">
        <v>0.39385020580000002</v>
      </c>
      <c r="K15" s="5"/>
      <c r="L15" s="8"/>
      <c r="M15" s="8"/>
      <c r="N15" s="8"/>
      <c r="O15" s="8"/>
      <c r="P15" s="8"/>
      <c r="Q15" s="8"/>
      <c r="R15" s="5"/>
      <c r="S15" s="5"/>
      <c r="T15" s="8"/>
      <c r="U15" s="14">
        <f t="shared" si="0"/>
        <v>4.1603890442999996</v>
      </c>
      <c r="V15" s="14">
        <f t="shared" si="1"/>
        <v>2.4335097710999998</v>
      </c>
      <c r="W15" s="1"/>
      <c r="X15" s="1"/>
    </row>
    <row r="16" spans="1:24" ht="15.75">
      <c r="A16" s="3">
        <v>445</v>
      </c>
      <c r="B16" s="4" t="s">
        <v>47</v>
      </c>
      <c r="C16" s="5">
        <v>1.4696062082000001</v>
      </c>
      <c r="D16" s="6">
        <v>0.79241306349999996</v>
      </c>
      <c r="E16" s="6">
        <v>0.2962568029</v>
      </c>
      <c r="F16" s="6">
        <v>0.34160381439999998</v>
      </c>
      <c r="G16" s="6">
        <v>0.29660559240000001</v>
      </c>
      <c r="H16" s="5">
        <v>0.54498664760000004</v>
      </c>
      <c r="I16" s="5">
        <v>2.5066709499999999E-2</v>
      </c>
      <c r="J16" s="5">
        <v>0.39385020580000002</v>
      </c>
      <c r="K16" s="5"/>
      <c r="L16" s="5">
        <v>4.8938804599999997E-2</v>
      </c>
      <c r="M16" s="5"/>
      <c r="N16" s="5">
        <v>0.48</v>
      </c>
      <c r="O16" s="5">
        <v>0.47051103989999998</v>
      </c>
      <c r="P16" s="5"/>
      <c r="Q16" s="5">
        <v>0.75</v>
      </c>
      <c r="R16" s="5">
        <v>0.34573688590000001</v>
      </c>
      <c r="S16" s="5"/>
      <c r="T16" s="6">
        <v>9.2129240398821949E-2</v>
      </c>
      <c r="U16" s="14">
        <f t="shared" si="0"/>
        <v>6.3477050150988212</v>
      </c>
      <c r="V16" s="14">
        <f t="shared" si="1"/>
        <v>4.5286965014999989</v>
      </c>
      <c r="W16" s="1"/>
      <c r="X16" s="1"/>
    </row>
    <row r="17" spans="1:24" s="70" customFormat="1" ht="15.75">
      <c r="A17" s="3">
        <v>490</v>
      </c>
      <c r="B17" s="4" t="s">
        <v>16</v>
      </c>
      <c r="C17" s="5">
        <v>1.4696062082000001</v>
      </c>
      <c r="D17" s="6">
        <v>0.79241306349999996</v>
      </c>
      <c r="E17" s="6">
        <v>0.46429477270000002</v>
      </c>
      <c r="F17" s="6">
        <v>0</v>
      </c>
      <c r="G17" s="6">
        <v>0.28264184380000001</v>
      </c>
      <c r="H17" s="5">
        <v>0.54498664760000004</v>
      </c>
      <c r="I17" s="5">
        <v>2.5066709499999999E-2</v>
      </c>
      <c r="J17" s="5"/>
      <c r="K17" s="5">
        <v>0.60719870350000005</v>
      </c>
      <c r="L17" s="5">
        <v>9.2264160900000003E-2</v>
      </c>
      <c r="M17" s="5">
        <v>1.50625823E-2</v>
      </c>
      <c r="N17" s="5">
        <v>0.41312190139999999</v>
      </c>
      <c r="O17" s="5">
        <v>0.70716696479999996</v>
      </c>
      <c r="P17" s="5"/>
      <c r="Q17" s="5">
        <v>0.71031189429999997</v>
      </c>
      <c r="R17" s="5">
        <v>0.39972947380000001</v>
      </c>
      <c r="S17" s="5">
        <v>0.28035634929999997</v>
      </c>
      <c r="T17" s="8"/>
      <c r="U17" s="14">
        <f t="shared" si="0"/>
        <v>6.8042212755999998</v>
      </c>
      <c r="V17" s="14">
        <f t="shared" si="1"/>
        <v>5.2648715955999998</v>
      </c>
      <c r="W17" s="69"/>
      <c r="X17" s="69"/>
    </row>
    <row r="18" spans="1:24" ht="15.75">
      <c r="A18" s="3">
        <v>491</v>
      </c>
      <c r="B18" s="4" t="s">
        <v>85</v>
      </c>
      <c r="C18" s="5">
        <v>1.4696062082000001</v>
      </c>
      <c r="D18" s="6">
        <v>0.79241306349999996</v>
      </c>
      <c r="E18" s="6">
        <v>0.46429477270000002</v>
      </c>
      <c r="F18" s="6">
        <v>0</v>
      </c>
      <c r="G18" s="6">
        <v>0.28264184380000001</v>
      </c>
      <c r="H18" s="5">
        <v>0.54498664760000004</v>
      </c>
      <c r="I18" s="5">
        <v>2.5066709499999999E-2</v>
      </c>
      <c r="J18" s="5">
        <v>0.39385020580000002</v>
      </c>
      <c r="K18" s="5"/>
      <c r="L18" s="5"/>
      <c r="M18" s="5"/>
      <c r="N18" s="8"/>
      <c r="O18" s="5">
        <v>0.70716696479999996</v>
      </c>
      <c r="P18" s="8"/>
      <c r="Q18" s="5">
        <v>0.71031189429999997</v>
      </c>
      <c r="R18" s="5">
        <v>0.39972947380000001</v>
      </c>
      <c r="S18" s="5"/>
      <c r="T18" s="8"/>
      <c r="U18" s="14">
        <f t="shared" si="0"/>
        <v>5.7900677840000006</v>
      </c>
      <c r="V18" s="14">
        <f t="shared" si="1"/>
        <v>4.2507181040000006</v>
      </c>
      <c r="W18" s="1"/>
      <c r="X18" s="1"/>
    </row>
    <row r="19" spans="1:24" ht="15.75">
      <c r="A19" s="3">
        <v>492</v>
      </c>
      <c r="B19" s="4" t="s">
        <v>48</v>
      </c>
      <c r="C19" s="5">
        <v>1.4696062082000001</v>
      </c>
      <c r="D19" s="6">
        <v>0.79241306349999996</v>
      </c>
      <c r="E19" s="6">
        <v>0.46429477270000002</v>
      </c>
      <c r="F19" s="6">
        <v>0</v>
      </c>
      <c r="G19" s="6">
        <v>0.28264184380000001</v>
      </c>
      <c r="H19" s="5">
        <v>0.54498664760000004</v>
      </c>
      <c r="I19" s="5">
        <v>2.5066709499999999E-2</v>
      </c>
      <c r="J19" s="5">
        <v>0.39385020580000002</v>
      </c>
      <c r="K19" s="5"/>
      <c r="L19" s="5"/>
      <c r="M19" s="5"/>
      <c r="N19" s="8"/>
      <c r="O19" s="5">
        <v>0.70716696479999996</v>
      </c>
      <c r="P19" s="8"/>
      <c r="Q19" s="5">
        <v>0.71031189429999997</v>
      </c>
      <c r="R19" s="5">
        <v>0.39972947380000001</v>
      </c>
      <c r="S19" s="5"/>
      <c r="T19" s="8"/>
      <c r="U19" s="14">
        <f t="shared" si="0"/>
        <v>5.7900677840000006</v>
      </c>
      <c r="V19" s="14">
        <f t="shared" si="1"/>
        <v>4.2507181040000006</v>
      </c>
      <c r="W19" s="1"/>
      <c r="X19" s="1"/>
    </row>
    <row r="20" spans="1:24" ht="15.75">
      <c r="A20" s="3">
        <v>493</v>
      </c>
      <c r="B20" s="4" t="s">
        <v>11</v>
      </c>
      <c r="C20" s="5">
        <v>1.4696062082000001</v>
      </c>
      <c r="D20" s="6">
        <v>0.79241306349999996</v>
      </c>
      <c r="E20" s="6">
        <v>0.46429477270000002</v>
      </c>
      <c r="F20" s="6">
        <v>0</v>
      </c>
      <c r="G20" s="6">
        <v>0.28264184380000001</v>
      </c>
      <c r="H20" s="5">
        <v>0.54498664760000004</v>
      </c>
      <c r="I20" s="5">
        <v>2.5066709499999999E-2</v>
      </c>
      <c r="J20" s="5">
        <v>0.39385020580000002</v>
      </c>
      <c r="K20" s="5"/>
      <c r="L20" s="5">
        <v>9.2264160900000003E-2</v>
      </c>
      <c r="M20" s="5">
        <v>1.50625823E-2</v>
      </c>
      <c r="N20" s="5">
        <v>0.41312190139999999</v>
      </c>
      <c r="O20" s="5">
        <v>0.70716696479999996</v>
      </c>
      <c r="P20" s="5"/>
      <c r="Q20" s="5">
        <v>0.71031189429999997</v>
      </c>
      <c r="R20" s="5">
        <v>0.39972947380000001</v>
      </c>
      <c r="S20" s="5">
        <v>0.28035634929999997</v>
      </c>
      <c r="T20" s="8"/>
      <c r="U20" s="14">
        <f t="shared" si="0"/>
        <v>6.5908727778999996</v>
      </c>
      <c r="V20" s="14">
        <f t="shared" si="1"/>
        <v>5.0515230978999996</v>
      </c>
      <c r="W20" s="1"/>
      <c r="X20" s="1"/>
    </row>
    <row r="21" spans="1:24" ht="15.75">
      <c r="A21" s="3">
        <v>494</v>
      </c>
      <c r="B21" s="4" t="s">
        <v>86</v>
      </c>
      <c r="C21" s="5">
        <v>1.4696062082000001</v>
      </c>
      <c r="D21" s="6">
        <v>0.79241306349999996</v>
      </c>
      <c r="E21" s="6">
        <v>0.46429477270000002</v>
      </c>
      <c r="F21" s="6">
        <v>0</v>
      </c>
      <c r="G21" s="6">
        <v>0.28264184380000001</v>
      </c>
      <c r="H21" s="5">
        <v>0.54498664760000004</v>
      </c>
      <c r="I21" s="5">
        <v>2.5066709499999999E-2</v>
      </c>
      <c r="J21" s="5">
        <v>0.39385020580000002</v>
      </c>
      <c r="K21" s="5"/>
      <c r="L21" s="5"/>
      <c r="M21" s="5"/>
      <c r="N21" s="8"/>
      <c r="O21" s="5">
        <v>0.70716696479999996</v>
      </c>
      <c r="P21" s="8"/>
      <c r="Q21" s="5">
        <v>0.71031189429999997</v>
      </c>
      <c r="R21" s="5">
        <v>0.39972947380000001</v>
      </c>
      <c r="S21" s="5"/>
      <c r="T21" s="8"/>
      <c r="U21" s="14">
        <f t="shared" si="0"/>
        <v>5.7900677840000006</v>
      </c>
      <c r="V21" s="14">
        <f t="shared" si="1"/>
        <v>4.2507181040000006</v>
      </c>
      <c r="W21" s="1"/>
      <c r="X21" s="1"/>
    </row>
    <row r="22" spans="1:24" ht="15.75">
      <c r="A22" s="3">
        <v>495</v>
      </c>
      <c r="B22" s="4" t="s">
        <v>49</v>
      </c>
      <c r="C22" s="5">
        <v>1.4696062082000001</v>
      </c>
      <c r="D22" s="6">
        <v>0.79241306349999996</v>
      </c>
      <c r="E22" s="6">
        <v>0.46429477270000002</v>
      </c>
      <c r="F22" s="6">
        <v>0</v>
      </c>
      <c r="G22" s="6">
        <v>0.28264184380000001</v>
      </c>
      <c r="H22" s="5">
        <v>0.54498664760000004</v>
      </c>
      <c r="I22" s="5">
        <v>2.5066709499999999E-2</v>
      </c>
      <c r="J22" s="5">
        <v>0.39385020580000002</v>
      </c>
      <c r="K22" s="5"/>
      <c r="L22" s="5">
        <v>9.2264160900000003E-2</v>
      </c>
      <c r="M22" s="5">
        <v>1.50625823E-2</v>
      </c>
      <c r="N22" s="5">
        <v>0.41312190139999999</v>
      </c>
      <c r="O22" s="5">
        <v>0.70716696479999996</v>
      </c>
      <c r="P22" s="5"/>
      <c r="Q22" s="5">
        <v>0.71031189429999997</v>
      </c>
      <c r="R22" s="5">
        <v>0.39972947380000001</v>
      </c>
      <c r="S22" s="5">
        <v>0.28035634929999997</v>
      </c>
      <c r="T22" s="8"/>
      <c r="U22" s="14">
        <f t="shared" si="0"/>
        <v>6.5908727778999996</v>
      </c>
      <c r="V22" s="14">
        <f t="shared" si="1"/>
        <v>5.0515230978999996</v>
      </c>
      <c r="W22" s="1"/>
      <c r="X22" s="1"/>
    </row>
    <row r="23" spans="1:24" ht="15.75">
      <c r="A23" s="3">
        <v>497</v>
      </c>
      <c r="B23" s="4" t="s">
        <v>87</v>
      </c>
      <c r="C23" s="5">
        <v>1.4696062082000001</v>
      </c>
      <c r="D23" s="6">
        <v>0.79241306349999996</v>
      </c>
      <c r="E23" s="6">
        <v>0.46429477270000002</v>
      </c>
      <c r="F23" s="6">
        <v>0</v>
      </c>
      <c r="G23" s="6">
        <v>0.28264184380000001</v>
      </c>
      <c r="H23" s="5">
        <v>0.54498664760000004</v>
      </c>
      <c r="I23" s="5">
        <v>2.5066709499999999E-2</v>
      </c>
      <c r="J23" s="5">
        <v>0.39385020580000002</v>
      </c>
      <c r="K23" s="5"/>
      <c r="L23" s="5"/>
      <c r="M23" s="5"/>
      <c r="N23" s="8"/>
      <c r="O23" s="5">
        <v>0.70716696479999996</v>
      </c>
      <c r="P23" s="8"/>
      <c r="Q23" s="5">
        <v>0.71031189429999997</v>
      </c>
      <c r="R23" s="5">
        <v>0.39972947380000001</v>
      </c>
      <c r="S23" s="5"/>
      <c r="T23" s="8"/>
      <c r="U23" s="14">
        <f t="shared" si="0"/>
        <v>5.7900677840000006</v>
      </c>
      <c r="V23" s="14">
        <f t="shared" si="1"/>
        <v>4.2507181040000006</v>
      </c>
      <c r="W23" s="1"/>
      <c r="X23" s="1"/>
    </row>
    <row r="24" spans="1:24" ht="15.75">
      <c r="A24" s="3">
        <v>498</v>
      </c>
      <c r="B24" s="4" t="s">
        <v>50</v>
      </c>
      <c r="C24" s="5">
        <v>1.4696062082000001</v>
      </c>
      <c r="D24" s="6">
        <v>0.79241306349999996</v>
      </c>
      <c r="E24" s="6">
        <v>0.46429477270000002</v>
      </c>
      <c r="F24" s="6">
        <v>0</v>
      </c>
      <c r="G24" s="6">
        <v>0.28264184380000001</v>
      </c>
      <c r="H24" s="5">
        <v>0.54498664760000004</v>
      </c>
      <c r="I24" s="5">
        <v>2.5066709499999999E-2</v>
      </c>
      <c r="J24" s="5">
        <v>0.39385020580000002</v>
      </c>
      <c r="K24" s="5"/>
      <c r="L24" s="5">
        <v>9.2264160900000003E-2</v>
      </c>
      <c r="M24" s="5">
        <v>1.50625823E-2</v>
      </c>
      <c r="N24" s="5">
        <v>0.41312190139999999</v>
      </c>
      <c r="O24" s="5">
        <v>0.70716696479999996</v>
      </c>
      <c r="P24" s="5"/>
      <c r="Q24" s="5">
        <v>0.71031189429999997</v>
      </c>
      <c r="R24" s="5">
        <v>0.39972947380000001</v>
      </c>
      <c r="S24" s="5">
        <v>0.28035634929999997</v>
      </c>
      <c r="T24" s="8"/>
      <c r="U24" s="14">
        <f t="shared" si="0"/>
        <v>6.5908727778999996</v>
      </c>
      <c r="V24" s="14">
        <f t="shared" si="1"/>
        <v>5.0515230978999996</v>
      </c>
      <c r="W24" s="1"/>
      <c r="X24" s="1"/>
    </row>
    <row r="25" spans="1:24" ht="15.75">
      <c r="A25" s="3">
        <v>499</v>
      </c>
      <c r="B25" s="4" t="s">
        <v>51</v>
      </c>
      <c r="C25" s="5">
        <v>1.4696062082000001</v>
      </c>
      <c r="D25" s="6">
        <v>0.79241306349999996</v>
      </c>
      <c r="E25" s="6">
        <v>0.46429477270000002</v>
      </c>
      <c r="F25" s="6">
        <v>0</v>
      </c>
      <c r="G25" s="6">
        <v>0.28264184380000001</v>
      </c>
      <c r="H25" s="5">
        <v>0.54498664760000004</v>
      </c>
      <c r="I25" s="5">
        <v>2.5066709499999999E-2</v>
      </c>
      <c r="J25" s="5">
        <v>0.39385020580000002</v>
      </c>
      <c r="K25" s="5"/>
      <c r="L25" s="5">
        <v>9.2264160900000003E-2</v>
      </c>
      <c r="M25" s="5">
        <v>1.50625823E-2</v>
      </c>
      <c r="N25" s="5">
        <v>0.41312190139999999</v>
      </c>
      <c r="O25" s="5">
        <v>0.70716696479999996</v>
      </c>
      <c r="P25" s="5"/>
      <c r="Q25" s="5">
        <v>0.71031189429999997</v>
      </c>
      <c r="R25" s="5">
        <v>0.39972947380000001</v>
      </c>
      <c r="S25" s="5">
        <v>0.28035634929999997</v>
      </c>
      <c r="T25" s="8"/>
      <c r="U25" s="14">
        <f t="shared" si="0"/>
        <v>6.5908727778999996</v>
      </c>
      <c r="V25" s="14">
        <f t="shared" si="1"/>
        <v>5.0515230978999996</v>
      </c>
      <c r="W25" s="1"/>
      <c r="X25" s="1"/>
    </row>
    <row r="26" spans="1:24" ht="33">
      <c r="A26" s="12">
        <v>1</v>
      </c>
      <c r="B26" s="12">
        <v>2</v>
      </c>
      <c r="C26" s="12">
        <v>3</v>
      </c>
      <c r="D26" s="12">
        <v>4</v>
      </c>
      <c r="E26" s="12">
        <v>5</v>
      </c>
      <c r="F26" s="12">
        <v>6</v>
      </c>
      <c r="G26" s="12">
        <v>7</v>
      </c>
      <c r="H26" s="12">
        <v>8</v>
      </c>
      <c r="I26" s="12">
        <v>9</v>
      </c>
      <c r="J26" s="12">
        <v>10</v>
      </c>
      <c r="K26" s="12">
        <v>11</v>
      </c>
      <c r="L26" s="12">
        <v>12</v>
      </c>
      <c r="M26" s="12">
        <v>13</v>
      </c>
      <c r="N26" s="12">
        <v>14</v>
      </c>
      <c r="O26" s="12">
        <v>15</v>
      </c>
      <c r="P26" s="12">
        <v>16</v>
      </c>
      <c r="Q26" s="12">
        <v>17</v>
      </c>
      <c r="R26" s="12">
        <v>18</v>
      </c>
      <c r="S26" s="12">
        <v>19</v>
      </c>
      <c r="T26" s="12">
        <v>20</v>
      </c>
      <c r="U26" s="12">
        <v>21</v>
      </c>
      <c r="V26" s="12">
        <v>22</v>
      </c>
    </row>
    <row r="27" spans="1:24">
      <c r="A27" t="str">
        <f>_TCA2025!A3</f>
        <v>Tax Code Area</v>
      </c>
      <c r="B27" t="str">
        <f>_TCA2025!B3</f>
        <v>Island</v>
      </c>
      <c r="C27" t="str">
        <f>_TCA2025!C3</f>
        <v>State Levy         Part 1</v>
      </c>
      <c r="D27" t="str">
        <f>_TCA2025!D3</f>
        <v>Excess State Levy Part 2</v>
      </c>
      <c r="E27" t="str">
        <f>_TCA2025!E3</f>
        <v>Local School   Enrichment</v>
      </c>
      <c r="F27" t="str">
        <f>_TCA2025!F3</f>
        <v>Local School Bond</v>
      </c>
      <c r="G27" t="str">
        <f>_TCA2025!G3</f>
        <v>Local School Cap Proj</v>
      </c>
      <c r="H27" t="str">
        <f>_TCA2025!H3</f>
        <v>County General</v>
      </c>
      <c r="I27" t="str">
        <f>_TCA2025!I3</f>
        <v>Cons  Futures</v>
      </c>
      <c r="J27" t="str">
        <f>_TCA2025!J3</f>
        <v>County Road</v>
      </c>
      <c r="K27" t="str">
        <f>_TCA2025!K3</f>
        <v>Town</v>
      </c>
      <c r="L27" t="str">
        <f>_TCA2025!L3</f>
        <v>Port</v>
      </c>
      <c r="M27" t="str">
        <f>_TCA2025!M3</f>
        <v>Cemetery</v>
      </c>
      <c r="N27" t="str">
        <f>_TCA2025!N3</f>
        <v>Library</v>
      </c>
      <c r="O27" t="str">
        <f>_TCA2025!O3</f>
        <v>Fire</v>
      </c>
      <c r="P27" t="s">
        <v>117</v>
      </c>
      <c r="Q27" t="str">
        <f>_TCA2025!P3</f>
        <v>Hospital</v>
      </c>
      <c r="R27" t="str">
        <f>_TCA2025!Q3</f>
        <v>EMS</v>
      </c>
      <c r="S27" t="str">
        <f>_TCA2025!R3</f>
        <v xml:space="preserve"> Park &amp; Rec</v>
      </c>
      <c r="T27" t="str">
        <f>_TCA2025!S3</f>
        <v>Solid Waste Disposal</v>
      </c>
      <c r="U27" t="str">
        <f>_TCA2025!U3</f>
        <v>TOTAL RATE</v>
      </c>
      <c r="V27" t="str">
        <f>_TCA2025!V3</f>
        <v>Senior Citizen Rate</v>
      </c>
    </row>
    <row r="29" spans="1:24">
      <c r="F29" s="1">
        <f>F7+G7</f>
        <v>0.56145240169999999</v>
      </c>
      <c r="O29" s="1"/>
    </row>
    <row r="31" spans="1:24">
      <c r="D31" s="10"/>
      <c r="E31" s="11" t="s">
        <v>52</v>
      </c>
      <c r="F31" s="9"/>
      <c r="G31" s="9"/>
      <c r="H31" s="9"/>
      <c r="I31" s="9"/>
      <c r="J31" s="9"/>
      <c r="K31" s="9"/>
    </row>
    <row r="36" spans="4:7" ht="15.75" thickBot="1"/>
    <row r="37" spans="4:7" ht="15.75" thickBot="1">
      <c r="D37" s="16" t="s">
        <v>8</v>
      </c>
      <c r="E37" s="17">
        <v>14400477743</v>
      </c>
      <c r="F37" s="18">
        <v>1.4435730098999999</v>
      </c>
      <c r="G37" s="19">
        <v>20788141</v>
      </c>
    </row>
    <row r="38" spans="4:7" ht="15.75" thickBot="1">
      <c r="D38" s="20" t="s">
        <v>90</v>
      </c>
      <c r="E38" s="21">
        <v>14331023501</v>
      </c>
      <c r="F38" s="22">
        <v>0.77435571849999996</v>
      </c>
      <c r="G38" s="23">
        <v>11097310</v>
      </c>
    </row>
    <row r="39" spans="4:7" ht="15.75" thickBot="1">
      <c r="D39" s="24" t="s">
        <v>20</v>
      </c>
      <c r="E39" s="25"/>
      <c r="F39" s="25"/>
      <c r="G39" s="26"/>
    </row>
    <row r="40" spans="4:7" ht="15.75" thickBot="1">
      <c r="D40" s="27" t="s">
        <v>21</v>
      </c>
      <c r="E40" s="21">
        <v>4904508156</v>
      </c>
      <c r="F40" s="22">
        <v>0.44497787760000002</v>
      </c>
      <c r="G40" s="23">
        <v>2182397.63</v>
      </c>
    </row>
    <row r="41" spans="4:7" ht="15.75" thickBot="1">
      <c r="D41" s="28" t="s">
        <v>22</v>
      </c>
      <c r="E41" s="29">
        <v>4905767955</v>
      </c>
      <c r="F41" s="25">
        <v>0.25693988210000002</v>
      </c>
      <c r="G41" s="30">
        <v>1260487.44</v>
      </c>
    </row>
    <row r="42" spans="4:7" ht="15.75" thickBot="1">
      <c r="D42" s="27" t="s">
        <v>91</v>
      </c>
      <c r="E42" s="21">
        <v>4905767955</v>
      </c>
      <c r="F42" s="22">
        <v>0.1019339978</v>
      </c>
      <c r="G42" s="23">
        <v>500064.54</v>
      </c>
    </row>
    <row r="43" spans="4:7" ht="15.75" thickBot="1">
      <c r="D43" s="28" t="s">
        <v>23</v>
      </c>
      <c r="E43" s="29">
        <v>2512285392</v>
      </c>
      <c r="F43" s="25">
        <v>0.28328536329999998</v>
      </c>
      <c r="G43" s="30">
        <v>711693.68</v>
      </c>
    </row>
    <row r="44" spans="4:7" ht="15.75" thickBot="1">
      <c r="D44" s="27" t="s">
        <v>24</v>
      </c>
      <c r="E44" s="21">
        <v>2512503436</v>
      </c>
      <c r="F44" s="22">
        <v>0.34998005469999999</v>
      </c>
      <c r="G44" s="23">
        <v>879326.09</v>
      </c>
    </row>
    <row r="45" spans="4:7" ht="15.75" thickBot="1">
      <c r="D45" s="28" t="s">
        <v>92</v>
      </c>
      <c r="E45" s="29">
        <v>2512503436</v>
      </c>
      <c r="F45" s="25">
        <v>0.16488606310000001</v>
      </c>
      <c r="G45" s="30">
        <v>414276.8</v>
      </c>
    </row>
    <row r="46" spans="4:7" ht="15.75" thickBot="1">
      <c r="D46" s="27" t="s">
        <v>25</v>
      </c>
      <c r="E46" s="21">
        <v>6551865690</v>
      </c>
      <c r="F46" s="22">
        <v>0.37293916960000001</v>
      </c>
      <c r="G46" s="23">
        <v>2443447.35</v>
      </c>
    </row>
    <row r="47" spans="4:7" ht="15.75" thickBot="1">
      <c r="D47" s="28" t="s">
        <v>26</v>
      </c>
      <c r="E47" s="29">
        <v>6552364285</v>
      </c>
      <c r="F47" s="25">
        <v>0.2070289518</v>
      </c>
      <c r="G47" s="30">
        <v>1356529.11</v>
      </c>
    </row>
    <row r="48" spans="4:7" ht="15.75" thickBot="1">
      <c r="D48" s="20" t="s">
        <v>93</v>
      </c>
      <c r="E48" s="21">
        <v>14401485793</v>
      </c>
      <c r="F48" s="22">
        <v>0.54161499329999996</v>
      </c>
      <c r="G48" s="23">
        <v>7800060.6299999999</v>
      </c>
    </row>
    <row r="49" spans="4:7" ht="15.75" thickBot="1">
      <c r="D49" s="28" t="s">
        <v>94</v>
      </c>
      <c r="E49" s="29">
        <v>14401485793</v>
      </c>
      <c r="F49" s="25">
        <v>0</v>
      </c>
      <c r="G49" s="30">
        <v>0</v>
      </c>
    </row>
    <row r="50" spans="4:7" ht="15.75" thickBot="1">
      <c r="D50" s="27" t="s">
        <v>95</v>
      </c>
      <c r="E50" s="21">
        <v>14401485793</v>
      </c>
      <c r="F50" s="22">
        <v>5.5085289000000003E-3</v>
      </c>
      <c r="G50" s="23">
        <v>79331</v>
      </c>
    </row>
    <row r="51" spans="4:7" ht="15.75" thickBot="1">
      <c r="D51" s="24" t="s">
        <v>1</v>
      </c>
      <c r="E51" s="29">
        <v>14401485793</v>
      </c>
      <c r="F51" s="25">
        <v>2.49089389E-2</v>
      </c>
      <c r="G51" s="30">
        <v>358725.73</v>
      </c>
    </row>
    <row r="52" spans="4:7" ht="15.75" thickBot="1">
      <c r="D52" s="20" t="s">
        <v>13</v>
      </c>
      <c r="E52" s="21">
        <v>13484719959</v>
      </c>
      <c r="F52" s="22">
        <v>0.39008988509999998</v>
      </c>
      <c r="G52" s="23">
        <v>5260252.8600000003</v>
      </c>
    </row>
    <row r="53" spans="4:7" ht="15.75" thickBot="1">
      <c r="D53" s="31" t="s">
        <v>4</v>
      </c>
      <c r="E53" s="32"/>
      <c r="F53" s="32"/>
      <c r="G53" s="33"/>
    </row>
    <row r="54" spans="4:7" ht="15.75" thickBot="1">
      <c r="D54" s="34" t="s">
        <v>16</v>
      </c>
      <c r="E54" s="35">
        <v>6161183199</v>
      </c>
      <c r="F54" s="36">
        <v>8.9917793699999998E-2</v>
      </c>
      <c r="G54" s="37">
        <v>554000</v>
      </c>
    </row>
    <row r="55" spans="4:7" ht="15.75" thickBot="1">
      <c r="D55" s="38" t="s">
        <v>15</v>
      </c>
      <c r="E55" s="39">
        <v>2245193500</v>
      </c>
      <c r="F55" s="32">
        <v>4.81833303E-2</v>
      </c>
      <c r="G55" s="40">
        <v>108180.9</v>
      </c>
    </row>
    <row r="56" spans="4:7" ht="15.75" thickBot="1">
      <c r="D56" s="34" t="s">
        <v>14</v>
      </c>
      <c r="E56" s="35">
        <v>4566939436</v>
      </c>
      <c r="F56" s="36">
        <v>6.0317857000000002E-2</v>
      </c>
      <c r="G56" s="37">
        <v>275468</v>
      </c>
    </row>
    <row r="57" spans="4:7" ht="15.75" thickBot="1">
      <c r="D57" s="31" t="s">
        <v>5</v>
      </c>
      <c r="E57" s="32"/>
      <c r="F57" s="32"/>
      <c r="G57" s="33"/>
    </row>
    <row r="58" spans="4:7" ht="15.75" thickBot="1">
      <c r="D58" s="34" t="s">
        <v>28</v>
      </c>
      <c r="E58" s="35">
        <v>4566939436</v>
      </c>
      <c r="F58" s="36">
        <v>0.53095567919999997</v>
      </c>
      <c r="G58" s="37">
        <v>2424842.4300000002</v>
      </c>
    </row>
    <row r="59" spans="4:7" ht="15.75" thickBot="1">
      <c r="D59" s="38" t="s">
        <v>29</v>
      </c>
      <c r="E59" s="39">
        <v>6585462771</v>
      </c>
      <c r="F59" s="32">
        <v>0.29838449750000001</v>
      </c>
      <c r="G59" s="40">
        <v>1965000</v>
      </c>
    </row>
    <row r="60" spans="4:7" ht="15.75" thickBot="1">
      <c r="D60" s="34" t="s">
        <v>17</v>
      </c>
      <c r="E60" s="35">
        <v>2245193500</v>
      </c>
      <c r="F60" s="36">
        <v>0.46302560110000002</v>
      </c>
      <c r="G60" s="37">
        <v>1039582.07</v>
      </c>
    </row>
    <row r="61" spans="4:7" ht="15.75" thickBot="1">
      <c r="D61" s="38" t="s">
        <v>27</v>
      </c>
      <c r="E61" s="39">
        <v>366344062</v>
      </c>
      <c r="F61" s="32">
        <v>0.47736572840000002</v>
      </c>
      <c r="G61" s="40">
        <v>174880.1</v>
      </c>
    </row>
    <row r="62" spans="4:7" ht="15.75" thickBot="1">
      <c r="D62" s="41" t="s">
        <v>3</v>
      </c>
      <c r="E62" s="35">
        <v>916765834</v>
      </c>
      <c r="F62" s="36">
        <v>0.62954082560000002</v>
      </c>
      <c r="G62" s="37">
        <v>577141.52</v>
      </c>
    </row>
    <row r="63" spans="4:7" ht="15.75" thickBot="1">
      <c r="D63" s="31" t="s">
        <v>6</v>
      </c>
      <c r="E63" s="32"/>
      <c r="F63" s="32"/>
      <c r="G63" s="33"/>
    </row>
    <row r="64" spans="4:7" ht="26.25" thickBot="1">
      <c r="D64" s="34" t="s">
        <v>96</v>
      </c>
      <c r="E64" s="35">
        <v>6161183199</v>
      </c>
      <c r="F64" s="36">
        <v>1.4282970799999999E-2</v>
      </c>
      <c r="G64" s="37">
        <v>88000</v>
      </c>
    </row>
    <row r="65" spans="4:7" ht="15.75" thickBot="1">
      <c r="D65" s="38" t="s">
        <v>10</v>
      </c>
      <c r="E65" s="39">
        <v>3470944182</v>
      </c>
      <c r="F65" s="32">
        <v>9.2193933999999995E-3</v>
      </c>
      <c r="G65" s="40">
        <v>32000</v>
      </c>
    </row>
    <row r="66" spans="4:7" ht="15.75" thickBot="1">
      <c r="D66" s="41" t="s">
        <v>7</v>
      </c>
      <c r="E66" s="36"/>
      <c r="F66" s="36"/>
      <c r="G66" s="42"/>
    </row>
    <row r="67" spans="4:7" ht="15.75" thickBot="1">
      <c r="D67" s="38" t="s">
        <v>15</v>
      </c>
      <c r="E67" s="39">
        <v>2245193500</v>
      </c>
      <c r="F67" s="32">
        <v>0.29602707290000002</v>
      </c>
      <c r="G67" s="40">
        <v>664638.06000000006</v>
      </c>
    </row>
    <row r="68" spans="4:7" ht="15.75" thickBot="1">
      <c r="D68" s="34" t="s">
        <v>11</v>
      </c>
      <c r="E68" s="35">
        <v>6161183199</v>
      </c>
      <c r="F68" s="36">
        <v>0.2538653615</v>
      </c>
      <c r="G68" s="37">
        <v>1564111</v>
      </c>
    </row>
    <row r="69" spans="4:7" ht="15.75" thickBot="1">
      <c r="D69" s="38" t="s">
        <v>14</v>
      </c>
      <c r="E69" s="39">
        <v>4566939436</v>
      </c>
      <c r="F69" s="32">
        <v>0.22231518820000001</v>
      </c>
      <c r="G69" s="40">
        <v>1015300</v>
      </c>
    </row>
    <row r="70" spans="4:7" ht="15.75" thickBot="1">
      <c r="D70" s="41" t="s">
        <v>97</v>
      </c>
      <c r="E70" s="36"/>
      <c r="F70" s="36"/>
      <c r="G70" s="42"/>
    </row>
    <row r="71" spans="4:7" ht="15.75" thickBot="1">
      <c r="D71" s="38" t="s">
        <v>98</v>
      </c>
      <c r="E71" s="39">
        <v>6161183199</v>
      </c>
      <c r="F71" s="32">
        <v>0.27404474029999998</v>
      </c>
      <c r="G71" s="40">
        <v>1688439.85</v>
      </c>
    </row>
    <row r="72" spans="4:7" ht="15.75" thickBot="1">
      <c r="D72" s="34" t="s">
        <v>99</v>
      </c>
      <c r="E72" s="35">
        <v>4566939436</v>
      </c>
      <c r="F72" s="36">
        <v>0.1069191253</v>
      </c>
      <c r="G72" s="37">
        <v>488293.17</v>
      </c>
    </row>
    <row r="73" spans="4:7" ht="15.75" thickBot="1">
      <c r="D73" s="31" t="s">
        <v>82</v>
      </c>
      <c r="E73" s="32"/>
      <c r="F73" s="32"/>
      <c r="G73" s="33"/>
    </row>
    <row r="74" spans="4:7" ht="15.75" thickBot="1">
      <c r="D74" s="34" t="s">
        <v>100</v>
      </c>
      <c r="E74" s="35">
        <v>6585462771</v>
      </c>
      <c r="F74" s="36">
        <v>0.49950101520000001</v>
      </c>
      <c r="G74" s="37">
        <v>3289445.34</v>
      </c>
    </row>
    <row r="75" spans="4:7" ht="15.75" thickBot="1">
      <c r="D75" s="38" t="s">
        <v>101</v>
      </c>
      <c r="E75" s="39">
        <v>2245193500</v>
      </c>
      <c r="F75" s="32">
        <v>0.61464635450000005</v>
      </c>
      <c r="G75" s="40">
        <v>1380000</v>
      </c>
    </row>
    <row r="76" spans="4:7" ht="15.75" thickBot="1">
      <c r="D76" s="34" t="s">
        <v>102</v>
      </c>
      <c r="E76" s="35">
        <v>4578477786</v>
      </c>
      <c r="F76" s="36">
        <v>0.35797924040000001</v>
      </c>
      <c r="G76" s="37">
        <v>1639000</v>
      </c>
    </row>
    <row r="77" spans="4:7" ht="15.75" thickBot="1">
      <c r="D77" s="31" t="s">
        <v>18</v>
      </c>
      <c r="E77" s="32"/>
      <c r="F77" s="32"/>
      <c r="G77" s="33"/>
    </row>
    <row r="78" spans="4:7" ht="15.75" thickBot="1">
      <c r="D78" s="34" t="s">
        <v>103</v>
      </c>
      <c r="E78" s="35">
        <v>6585462771</v>
      </c>
      <c r="F78" s="36">
        <v>0.38978609689999999</v>
      </c>
      <c r="G78" s="37">
        <v>2566921.83</v>
      </c>
    </row>
    <row r="79" spans="4:7" ht="15.75" thickBot="1">
      <c r="D79" s="38" t="s">
        <v>31</v>
      </c>
      <c r="E79" s="39">
        <v>2245193500</v>
      </c>
      <c r="F79" s="32">
        <v>0.33997353899999999</v>
      </c>
      <c r="G79" s="40">
        <v>763306.38</v>
      </c>
    </row>
    <row r="80" spans="4:7" ht="15.75" thickBot="1">
      <c r="D80" s="41" t="s">
        <v>2</v>
      </c>
      <c r="E80" s="35">
        <v>2234361518</v>
      </c>
      <c r="F80" s="36">
        <v>4.69932905E-2</v>
      </c>
      <c r="G80" s="37">
        <v>105000</v>
      </c>
    </row>
  </sheetData>
  <mergeCells count="24">
    <mergeCell ref="N3:N5"/>
    <mergeCell ref="A1:V1"/>
    <mergeCell ref="A2:T2"/>
    <mergeCell ref="A3:A5"/>
    <mergeCell ref="B3:B5"/>
    <mergeCell ref="C3:C5"/>
    <mergeCell ref="D3:D5"/>
    <mergeCell ref="E3:E5"/>
    <mergeCell ref="F3:F5"/>
    <mergeCell ref="G3:G5"/>
    <mergeCell ref="H3:H5"/>
    <mergeCell ref="I3:I5"/>
    <mergeCell ref="J3:J5"/>
    <mergeCell ref="K3:K5"/>
    <mergeCell ref="L3:L5"/>
    <mergeCell ref="M3:M5"/>
    <mergeCell ref="V3:V5"/>
    <mergeCell ref="O3:O5"/>
    <mergeCell ref="Q3:Q5"/>
    <mergeCell ref="R3:R5"/>
    <mergeCell ref="S3:S5"/>
    <mergeCell ref="T3:T5"/>
    <mergeCell ref="U3:U5"/>
    <mergeCell ref="P3:P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2BE62-2DFB-45EE-8140-82D738BF468B}">
  <dimension ref="A1:V31"/>
  <sheetViews>
    <sheetView workbookViewId="0">
      <selection sqref="A1:V1"/>
    </sheetView>
  </sheetViews>
  <sheetFormatPr defaultRowHeight="15"/>
  <cols>
    <col min="1" max="1" width="15.7109375" bestFit="1" customWidth="1"/>
    <col min="2" max="2" width="18.5703125" bestFit="1" customWidth="1"/>
    <col min="3" max="3" width="24.42578125" bestFit="1" customWidth="1"/>
    <col min="4" max="4" width="26.7109375" bestFit="1" customWidth="1"/>
    <col min="5" max="5" width="28.7109375" bestFit="1" customWidth="1"/>
    <col min="6" max="6" width="30.5703125" customWidth="1"/>
    <col min="7" max="7" width="24.28515625" bestFit="1" customWidth="1"/>
    <col min="8" max="8" width="17" bestFit="1" customWidth="1"/>
    <col min="9" max="9" width="15.28515625" bestFit="1" customWidth="1"/>
    <col min="10" max="10" width="17.42578125" customWidth="1"/>
    <col min="11" max="11" width="16.5703125" customWidth="1"/>
    <col min="12" max="12" width="14.85546875" bestFit="1" customWidth="1"/>
    <col min="13" max="13" width="14.7109375" bestFit="1" customWidth="1"/>
    <col min="14" max="14" width="15" bestFit="1" customWidth="1"/>
    <col min="15" max="15" width="14.85546875" bestFit="1" customWidth="1"/>
    <col min="16" max="17" width="15" bestFit="1" customWidth="1"/>
    <col min="18" max="18" width="14.85546875" bestFit="1" customWidth="1"/>
    <col min="19" max="20" width="22.42578125" bestFit="1" customWidth="1"/>
    <col min="21" max="21" width="15" bestFit="1" customWidth="1"/>
    <col min="22" max="22" width="21" bestFit="1" customWidth="1"/>
  </cols>
  <sheetData>
    <row r="1" spans="1:22" s="2" customFormat="1" ht="54" customHeight="1">
      <c r="A1" s="143" t="s">
        <v>89</v>
      </c>
      <c r="B1" s="144"/>
      <c r="C1" s="144"/>
      <c r="D1" s="144"/>
      <c r="E1" s="144"/>
      <c r="F1" s="144"/>
      <c r="G1" s="144"/>
      <c r="H1" s="144"/>
      <c r="I1" s="144"/>
      <c r="J1" s="144"/>
      <c r="K1" s="144"/>
      <c r="L1" s="144"/>
      <c r="M1" s="144"/>
      <c r="N1" s="144"/>
      <c r="O1" s="144"/>
      <c r="P1" s="144"/>
      <c r="Q1" s="144"/>
      <c r="R1" s="144"/>
      <c r="S1" s="144"/>
      <c r="T1" s="144"/>
      <c r="U1" s="144"/>
      <c r="V1" s="144"/>
    </row>
    <row r="2" spans="1:22" ht="33">
      <c r="A2" s="145" t="s">
        <v>88</v>
      </c>
      <c r="B2" s="145"/>
      <c r="C2" s="145"/>
      <c r="D2" s="145"/>
      <c r="E2" s="145"/>
      <c r="F2" s="145"/>
      <c r="G2" s="145"/>
      <c r="H2" s="145"/>
      <c r="I2" s="145"/>
      <c r="J2" s="145"/>
      <c r="K2" s="145"/>
      <c r="L2" s="145"/>
      <c r="M2" s="145"/>
      <c r="N2" s="145"/>
      <c r="O2" s="145"/>
      <c r="P2" s="145"/>
      <c r="Q2" s="145"/>
      <c r="R2" s="145"/>
      <c r="S2" s="145"/>
      <c r="T2" s="68"/>
      <c r="U2" s="13"/>
      <c r="V2" s="13"/>
    </row>
    <row r="3" spans="1:22" ht="14.45" customHeight="1">
      <c r="A3" s="146" t="s">
        <v>32</v>
      </c>
      <c r="B3" s="149" t="s">
        <v>33</v>
      </c>
      <c r="C3" s="140" t="s">
        <v>34</v>
      </c>
      <c r="D3" s="140" t="s">
        <v>12</v>
      </c>
      <c r="E3" s="140" t="s">
        <v>35</v>
      </c>
      <c r="F3" s="140" t="s">
        <v>53</v>
      </c>
      <c r="G3" s="140" t="s">
        <v>54</v>
      </c>
      <c r="H3" s="140" t="s">
        <v>75</v>
      </c>
      <c r="I3" s="140" t="s">
        <v>76</v>
      </c>
      <c r="J3" s="140" t="s">
        <v>77</v>
      </c>
      <c r="K3" s="140" t="s">
        <v>36</v>
      </c>
      <c r="L3" s="140" t="s">
        <v>78</v>
      </c>
      <c r="M3" s="140" t="s">
        <v>79</v>
      </c>
      <c r="N3" s="140" t="s">
        <v>80</v>
      </c>
      <c r="O3" s="140" t="s">
        <v>81</v>
      </c>
      <c r="P3" s="140" t="s">
        <v>82</v>
      </c>
      <c r="Q3" s="140" t="s">
        <v>18</v>
      </c>
      <c r="R3" s="140" t="s">
        <v>83</v>
      </c>
      <c r="S3" s="140" t="s">
        <v>37</v>
      </c>
      <c r="T3" s="140" t="s">
        <v>120</v>
      </c>
      <c r="U3" s="137" t="s">
        <v>38</v>
      </c>
      <c r="V3" s="137" t="s">
        <v>39</v>
      </c>
    </row>
    <row r="4" spans="1:22">
      <c r="A4" s="147"/>
      <c r="B4" s="150"/>
      <c r="C4" s="141"/>
      <c r="D4" s="141"/>
      <c r="E4" s="141"/>
      <c r="F4" s="141"/>
      <c r="G4" s="141"/>
      <c r="H4" s="141"/>
      <c r="I4" s="141"/>
      <c r="J4" s="141"/>
      <c r="K4" s="141"/>
      <c r="L4" s="141"/>
      <c r="M4" s="141"/>
      <c r="N4" s="141"/>
      <c r="O4" s="141"/>
      <c r="P4" s="141"/>
      <c r="Q4" s="141"/>
      <c r="R4" s="141"/>
      <c r="S4" s="141"/>
      <c r="T4" s="141"/>
      <c r="U4" s="138"/>
      <c r="V4" s="138"/>
    </row>
    <row r="5" spans="1:22">
      <c r="A5" s="148"/>
      <c r="B5" s="151"/>
      <c r="C5" s="142"/>
      <c r="D5" s="142"/>
      <c r="E5" s="142"/>
      <c r="F5" s="142"/>
      <c r="G5" s="142"/>
      <c r="H5" s="142"/>
      <c r="I5" s="142"/>
      <c r="J5" s="142"/>
      <c r="K5" s="142"/>
      <c r="L5" s="142"/>
      <c r="M5" s="142"/>
      <c r="N5" s="142"/>
      <c r="O5" s="142"/>
      <c r="P5" s="142"/>
      <c r="Q5" s="142"/>
      <c r="R5" s="142"/>
      <c r="S5" s="142"/>
      <c r="T5" s="142"/>
      <c r="U5" s="139"/>
      <c r="V5" s="139"/>
    </row>
    <row r="6" spans="1:22" ht="15.75">
      <c r="A6" s="3">
        <v>101</v>
      </c>
      <c r="B6" s="4" t="s">
        <v>30</v>
      </c>
      <c r="C6" s="5">
        <v>1.5069301773999999</v>
      </c>
      <c r="D6" s="6">
        <v>0.81092266000000002</v>
      </c>
      <c r="E6" s="6"/>
      <c r="F6" s="7"/>
      <c r="G6" s="7"/>
      <c r="H6" s="5">
        <v>0.54247130560000001</v>
      </c>
      <c r="I6" s="5">
        <v>2.4949369499999999E-2</v>
      </c>
      <c r="J6" s="5">
        <v>0.39111531849999998</v>
      </c>
      <c r="K6" s="5"/>
      <c r="L6" s="5"/>
      <c r="M6" s="8"/>
      <c r="N6" s="8"/>
      <c r="O6" s="8">
        <v>0.47937980610000003</v>
      </c>
      <c r="P6" s="8"/>
      <c r="Q6" s="8"/>
      <c r="R6" s="8"/>
      <c r="S6" s="8"/>
      <c r="T6" s="8"/>
      <c r="U6" s="14">
        <v>3.7557686371000001</v>
      </c>
      <c r="V6" s="14">
        <v>2.9448459771</v>
      </c>
    </row>
    <row r="7" spans="1:22" ht="15.75">
      <c r="A7" s="3">
        <v>211</v>
      </c>
      <c r="B7" s="4" t="s">
        <v>40</v>
      </c>
      <c r="C7" s="5">
        <v>1.5069301773999999</v>
      </c>
      <c r="D7" s="6">
        <v>0.81092266000000002</v>
      </c>
      <c r="E7" s="6">
        <v>0.4778447938</v>
      </c>
      <c r="F7" s="6">
        <v>0.27990724341500001</v>
      </c>
      <c r="G7" s="6">
        <v>9.7345641385000015E-2</v>
      </c>
      <c r="H7" s="5">
        <v>0.54247130560000001</v>
      </c>
      <c r="I7" s="5">
        <v>2.4949369499999999E-2</v>
      </c>
      <c r="J7" s="5">
        <v>0.39111531849999998</v>
      </c>
      <c r="K7" s="5"/>
      <c r="L7" s="8"/>
      <c r="M7" s="8"/>
      <c r="N7" s="8"/>
      <c r="O7" s="8" t="s">
        <v>84</v>
      </c>
      <c r="P7" s="8"/>
      <c r="Q7" s="8"/>
      <c r="R7" s="8"/>
      <c r="S7" s="8"/>
      <c r="T7" s="8"/>
      <c r="U7" s="14">
        <v>4.1314865096000002</v>
      </c>
      <c r="V7" s="14">
        <v>2.4654661710000001</v>
      </c>
    </row>
    <row r="8" spans="1:22" ht="15.75">
      <c r="A8" s="3">
        <v>372</v>
      </c>
      <c r="B8" s="4" t="s">
        <v>41</v>
      </c>
      <c r="C8" s="5">
        <v>1.5069301773999999</v>
      </c>
      <c r="D8" s="6">
        <v>0.81092266000000002</v>
      </c>
      <c r="E8" s="6">
        <v>0.4778447938</v>
      </c>
      <c r="F8" s="6">
        <v>0.27990724341500001</v>
      </c>
      <c r="G8" s="6">
        <v>9.7345641385000015E-2</v>
      </c>
      <c r="H8" s="5">
        <v>0.54247130560000001</v>
      </c>
      <c r="I8" s="5">
        <v>2.4949369499999999E-2</v>
      </c>
      <c r="J8" s="5">
        <v>0.39111531849999998</v>
      </c>
      <c r="K8" s="5"/>
      <c r="L8" s="8"/>
      <c r="M8" s="8"/>
      <c r="N8" s="8"/>
      <c r="O8" s="8"/>
      <c r="P8" s="8"/>
      <c r="Q8" s="8"/>
      <c r="R8" s="8"/>
      <c r="S8" s="8"/>
      <c r="T8" s="8"/>
      <c r="U8" s="14">
        <v>4.1314865096000002</v>
      </c>
      <c r="V8" s="14">
        <v>2.4654661710000001</v>
      </c>
    </row>
    <row r="9" spans="1:22" ht="15.75">
      <c r="A9" s="3">
        <v>373</v>
      </c>
      <c r="B9" s="4" t="s">
        <v>14</v>
      </c>
      <c r="C9" s="5">
        <v>1.5069301773999999</v>
      </c>
      <c r="D9" s="6">
        <v>0.81092266000000002</v>
      </c>
      <c r="E9" s="6">
        <v>0.4778447938</v>
      </c>
      <c r="F9" s="6">
        <v>0.27990724341500001</v>
      </c>
      <c r="G9" s="6">
        <v>9.7345641385000015E-2</v>
      </c>
      <c r="H9" s="5">
        <v>0.54247130560000001</v>
      </c>
      <c r="I9" s="5">
        <v>2.4949369499999999E-2</v>
      </c>
      <c r="J9" s="5">
        <v>0.39111531849999998</v>
      </c>
      <c r="K9" s="5"/>
      <c r="L9" s="5">
        <v>5.84197173E-2</v>
      </c>
      <c r="M9" s="5"/>
      <c r="N9" s="8">
        <v>0.2153355867</v>
      </c>
      <c r="O9" s="5">
        <v>0.77</v>
      </c>
      <c r="P9" s="5">
        <v>0.41502742599999998</v>
      </c>
      <c r="Q9" s="5"/>
      <c r="R9" s="5">
        <v>0.1025897697</v>
      </c>
      <c r="S9" s="8"/>
      <c r="T9" s="8"/>
      <c r="U9" s="14">
        <v>5.6928590093000002</v>
      </c>
      <c r="V9" s="14">
        <v>4.0268386707000001</v>
      </c>
    </row>
    <row r="10" spans="1:22" ht="15.75">
      <c r="A10" s="3">
        <v>374</v>
      </c>
      <c r="B10" s="4" t="s">
        <v>42</v>
      </c>
      <c r="C10" s="5">
        <v>1.5069301773999999</v>
      </c>
      <c r="D10" s="6">
        <v>0.81092266000000002</v>
      </c>
      <c r="E10" s="6">
        <v>0.4778447938</v>
      </c>
      <c r="F10" s="6">
        <v>0.27990724341500001</v>
      </c>
      <c r="G10" s="6">
        <v>9.7345641385000015E-2</v>
      </c>
      <c r="H10" s="5">
        <v>0.54247130560000001</v>
      </c>
      <c r="I10" s="5">
        <v>2.4949369499999999E-2</v>
      </c>
      <c r="J10" s="5">
        <v>0.39111531849999998</v>
      </c>
      <c r="K10" s="5"/>
      <c r="L10" s="5">
        <v>5.84197173E-2</v>
      </c>
      <c r="M10" s="5">
        <v>8.8282164E-3</v>
      </c>
      <c r="N10" s="5">
        <v>0.2153355867</v>
      </c>
      <c r="O10" s="5">
        <v>0.77</v>
      </c>
      <c r="P10" s="5">
        <v>0.41502742599999998</v>
      </c>
      <c r="Q10" s="5"/>
      <c r="R10" s="5">
        <v>0.1025897697</v>
      </c>
      <c r="S10" s="8"/>
      <c r="T10" s="8"/>
      <c r="U10" s="14">
        <v>5.7016872256999998</v>
      </c>
      <c r="V10" s="14">
        <v>4.0356668870999997</v>
      </c>
    </row>
    <row r="11" spans="1:22" ht="15.75">
      <c r="A11" s="3">
        <v>375</v>
      </c>
      <c r="B11" s="4" t="s">
        <v>43</v>
      </c>
      <c r="C11" s="5">
        <v>1.5069301773999999</v>
      </c>
      <c r="D11" s="6">
        <v>0.81092266000000002</v>
      </c>
      <c r="E11" s="6">
        <v>0.4778447938</v>
      </c>
      <c r="F11" s="6">
        <v>0.27990724341500001</v>
      </c>
      <c r="G11" s="6">
        <v>9.7345641385000015E-2</v>
      </c>
      <c r="H11" s="5">
        <v>0.54247130560000001</v>
      </c>
      <c r="I11" s="5">
        <v>2.4949369499999999E-2</v>
      </c>
      <c r="J11" s="5">
        <v>0.39111531849999998</v>
      </c>
      <c r="K11" s="5"/>
      <c r="L11" s="5"/>
      <c r="M11" s="5"/>
      <c r="N11" s="5"/>
      <c r="O11" s="5"/>
      <c r="P11" s="5">
        <v>0.41502742599999998</v>
      </c>
      <c r="Q11" s="5"/>
      <c r="R11" s="5"/>
      <c r="S11" s="8"/>
      <c r="T11" s="8"/>
      <c r="U11" s="14">
        <v>4.5465139356000002</v>
      </c>
      <c r="V11" s="14">
        <v>2.8804935970000001</v>
      </c>
    </row>
    <row r="12" spans="1:22" ht="15.75">
      <c r="A12" s="3">
        <v>441</v>
      </c>
      <c r="B12" s="4" t="s">
        <v>44</v>
      </c>
      <c r="C12" s="5">
        <v>1.5069301773999999</v>
      </c>
      <c r="D12" s="6">
        <v>0.81092266000000002</v>
      </c>
      <c r="E12" s="6">
        <v>0.4778447938</v>
      </c>
      <c r="F12" s="6">
        <v>0.27990724341500001</v>
      </c>
      <c r="G12" s="6">
        <v>9.7345641385000015E-2</v>
      </c>
      <c r="H12" s="5">
        <v>0.54247130560000001</v>
      </c>
      <c r="I12" s="5">
        <v>2.4949369499999999E-2</v>
      </c>
      <c r="J12" s="5">
        <v>0.39111531849999998</v>
      </c>
      <c r="K12" s="5"/>
      <c r="L12" s="8" t="s">
        <v>84</v>
      </c>
      <c r="M12" s="8"/>
      <c r="N12" s="8"/>
      <c r="O12" s="8" t="s">
        <v>84</v>
      </c>
      <c r="P12" s="8"/>
      <c r="Q12" s="5"/>
      <c r="R12" s="5"/>
      <c r="S12" s="8"/>
      <c r="T12" s="8"/>
      <c r="U12" s="14">
        <v>4.1314865096000002</v>
      </c>
      <c r="V12" s="14">
        <v>2.4654661710000001</v>
      </c>
    </row>
    <row r="13" spans="1:22" ht="15.75">
      <c r="A13" s="3">
        <v>442</v>
      </c>
      <c r="B13" s="4" t="s">
        <v>15</v>
      </c>
      <c r="C13" s="5">
        <v>1.5069301773999999</v>
      </c>
      <c r="D13" s="6">
        <v>0.81092266000000002</v>
      </c>
      <c r="E13" s="6">
        <v>0.28434896939999998</v>
      </c>
      <c r="F13" s="6">
        <v>0.35027563441999998</v>
      </c>
      <c r="G13" s="6">
        <v>0.26475477147400001</v>
      </c>
      <c r="H13" s="5">
        <v>0.54247130560000001</v>
      </c>
      <c r="I13" s="5">
        <v>2.4949369499999999E-2</v>
      </c>
      <c r="J13" s="5">
        <v>0.39111531849999998</v>
      </c>
      <c r="K13" s="5"/>
      <c r="L13" s="5">
        <v>4.9521141499999997E-2</v>
      </c>
      <c r="M13" s="5"/>
      <c r="N13" s="8">
        <v>0.30418728499999997</v>
      </c>
      <c r="O13" s="5">
        <v>0.47610909080000002</v>
      </c>
      <c r="P13" s="8">
        <v>0.62311271319999995</v>
      </c>
      <c r="Q13" s="5">
        <v>0.349595139</v>
      </c>
      <c r="R13" s="5"/>
      <c r="S13" s="6">
        <v>9.4641400099999995E-2</v>
      </c>
      <c r="T13" s="8"/>
      <c r="U13" s="14">
        <v>6.0729349759</v>
      </c>
      <c r="V13" s="14">
        <v>4.2679915404999997</v>
      </c>
    </row>
    <row r="14" spans="1:22" ht="15.75">
      <c r="A14" s="3">
        <v>443</v>
      </c>
      <c r="B14" s="4" t="s">
        <v>45</v>
      </c>
      <c r="C14" s="5">
        <v>1.5069301773999999</v>
      </c>
      <c r="D14" s="6">
        <v>0.81092266000000002</v>
      </c>
      <c r="E14" s="6">
        <v>0.28434896939999998</v>
      </c>
      <c r="F14" s="6">
        <v>0.35027563441999998</v>
      </c>
      <c r="G14" s="6">
        <v>0.26475477147400001</v>
      </c>
      <c r="H14" s="5">
        <v>0.54247130560000001</v>
      </c>
      <c r="I14" s="5">
        <v>2.4949369499999999E-2</v>
      </c>
      <c r="J14" s="5">
        <v>0.39111531849999998</v>
      </c>
      <c r="K14" s="5"/>
      <c r="L14" s="8"/>
      <c r="M14" s="8"/>
      <c r="N14" s="8"/>
      <c r="O14" s="8"/>
      <c r="P14" s="8"/>
      <c r="Q14" s="5"/>
      <c r="R14" s="5"/>
      <c r="S14" s="8"/>
      <c r="T14" s="8"/>
      <c r="U14" s="14">
        <v>4.1757682062999999</v>
      </c>
      <c r="V14" s="14">
        <v>2.4654661710000001</v>
      </c>
    </row>
    <row r="15" spans="1:22" ht="15.75">
      <c r="A15" s="3">
        <v>444</v>
      </c>
      <c r="B15" s="4" t="s">
        <v>46</v>
      </c>
      <c r="C15" s="5">
        <v>1.5069301773999999</v>
      </c>
      <c r="D15" s="6">
        <v>0.81092266000000002</v>
      </c>
      <c r="E15" s="6">
        <v>0.28434896939999998</v>
      </c>
      <c r="F15" s="6">
        <v>0.35027563441999998</v>
      </c>
      <c r="G15" s="6">
        <v>0.26475477147400001</v>
      </c>
      <c r="H15" s="5">
        <v>0.54247130560000001</v>
      </c>
      <c r="I15" s="5">
        <v>2.4949369499999999E-2</v>
      </c>
      <c r="J15" s="5">
        <v>0.39111531849999998</v>
      </c>
      <c r="K15" s="5"/>
      <c r="L15" s="8"/>
      <c r="M15" s="8"/>
      <c r="N15" s="8"/>
      <c r="O15" s="8"/>
      <c r="P15" s="8"/>
      <c r="Q15" s="5"/>
      <c r="R15" s="5"/>
      <c r="S15" s="8"/>
      <c r="T15" s="8"/>
      <c r="U15" s="14">
        <v>4.1757682062999999</v>
      </c>
      <c r="V15" s="14">
        <v>2.4654661710000001</v>
      </c>
    </row>
    <row r="16" spans="1:22" ht="15.75">
      <c r="A16" s="3">
        <v>445</v>
      </c>
      <c r="B16" s="4" t="s">
        <v>47</v>
      </c>
      <c r="C16" s="5">
        <v>1.5069301773999999</v>
      </c>
      <c r="D16" s="6">
        <v>0.81092266000000002</v>
      </c>
      <c r="E16" s="6">
        <v>0.28434896939999998</v>
      </c>
      <c r="F16" s="6">
        <v>0.35027563441999998</v>
      </c>
      <c r="G16" s="6">
        <v>0.26475477147400001</v>
      </c>
      <c r="H16" s="5">
        <v>0.54247130560000001</v>
      </c>
      <c r="I16" s="5">
        <v>2.4949369499999999E-2</v>
      </c>
      <c r="J16" s="5">
        <v>0.39111531849999998</v>
      </c>
      <c r="K16" s="5"/>
      <c r="L16" s="5">
        <v>4.9521141499999997E-2</v>
      </c>
      <c r="M16" s="5"/>
      <c r="N16" s="8">
        <v>0.30418728499999997</v>
      </c>
      <c r="O16" s="5">
        <v>0.47610909080000002</v>
      </c>
      <c r="P16" s="8">
        <v>0.62311271319999995</v>
      </c>
      <c r="Q16" s="5">
        <v>0.349595139</v>
      </c>
      <c r="R16" s="5"/>
      <c r="S16" s="6">
        <v>9.4641400099999995E-2</v>
      </c>
      <c r="T16" s="8"/>
      <c r="U16" s="14">
        <v>6.0729349759</v>
      </c>
      <c r="V16" s="14">
        <v>4.2679915404999997</v>
      </c>
    </row>
    <row r="17" spans="1:22" ht="15.75">
      <c r="A17" s="3">
        <v>490</v>
      </c>
      <c r="B17" s="4" t="s">
        <v>16</v>
      </c>
      <c r="C17" s="5">
        <v>1.5069301773999999</v>
      </c>
      <c r="D17" s="6">
        <v>0.81092266000000002</v>
      </c>
      <c r="E17" s="6">
        <v>0.38811711799999998</v>
      </c>
      <c r="F17" s="6">
        <v>0</v>
      </c>
      <c r="G17" s="6">
        <v>0.28413331380000001</v>
      </c>
      <c r="H17" s="5">
        <v>0.54247130560000001</v>
      </c>
      <c r="I17" s="5">
        <v>2.4949369499999999E-2</v>
      </c>
      <c r="J17" s="5"/>
      <c r="K17" s="5">
        <v>0.62271765899999998</v>
      </c>
      <c r="L17" s="5">
        <v>9.1606800399999994E-2</v>
      </c>
      <c r="M17" s="5">
        <v>1.49533818E-2</v>
      </c>
      <c r="N17" s="5">
        <v>0.41</v>
      </c>
      <c r="O17" s="5">
        <v>0.7</v>
      </c>
      <c r="P17" s="5">
        <v>0.50673553930000004</v>
      </c>
      <c r="Q17" s="5">
        <v>0.39574313249999998</v>
      </c>
      <c r="R17" s="5">
        <v>0.27831752729999998</v>
      </c>
      <c r="S17" s="8"/>
      <c r="T17" s="8"/>
      <c r="U17" s="14">
        <v>6.5775979845999997</v>
      </c>
      <c r="V17" s="14">
        <v>5.0944248928000002</v>
      </c>
    </row>
    <row r="18" spans="1:22" ht="15.75">
      <c r="A18" s="3">
        <v>491</v>
      </c>
      <c r="B18" s="4" t="s">
        <v>85</v>
      </c>
      <c r="C18" s="5">
        <v>1.5069301773999999</v>
      </c>
      <c r="D18" s="6">
        <v>0.81092266000000002</v>
      </c>
      <c r="E18" s="6">
        <v>0.38811711799999998</v>
      </c>
      <c r="F18" s="6">
        <v>0</v>
      </c>
      <c r="G18" s="6">
        <v>0.28413331380000001</v>
      </c>
      <c r="H18" s="5">
        <v>0.54247130560000001</v>
      </c>
      <c r="I18" s="5">
        <v>2.4949369499999999E-2</v>
      </c>
      <c r="J18" s="5">
        <v>0.39111531849999998</v>
      </c>
      <c r="K18" s="5"/>
      <c r="L18" s="5"/>
      <c r="M18" s="8"/>
      <c r="N18" s="8"/>
      <c r="O18" s="8">
        <v>0.7</v>
      </c>
      <c r="P18" s="8">
        <v>0.50673553930000004</v>
      </c>
      <c r="Q18" s="5">
        <v>0.39574313249999998</v>
      </c>
      <c r="R18" s="5"/>
      <c r="S18" s="8"/>
      <c r="T18" s="8"/>
      <c r="U18" s="14">
        <v>5.5511179345999997</v>
      </c>
      <c r="V18" s="14">
        <v>4.0679448428000002</v>
      </c>
    </row>
    <row r="19" spans="1:22" ht="15.75">
      <c r="A19" s="3">
        <v>492</v>
      </c>
      <c r="B19" s="4" t="s">
        <v>48</v>
      </c>
      <c r="C19" s="5">
        <v>1.5069301773999999</v>
      </c>
      <c r="D19" s="6">
        <v>0.81092266000000002</v>
      </c>
      <c r="E19" s="6">
        <v>0.38811711799999998</v>
      </c>
      <c r="F19" s="6">
        <v>0</v>
      </c>
      <c r="G19" s="6">
        <v>0.28413331380000001</v>
      </c>
      <c r="H19" s="5">
        <v>0.54247130560000001</v>
      </c>
      <c r="I19" s="5">
        <v>2.4949369499999999E-2</v>
      </c>
      <c r="J19" s="5">
        <v>0.39111531849999998</v>
      </c>
      <c r="K19" s="5"/>
      <c r="L19" s="5"/>
      <c r="M19" s="8"/>
      <c r="N19" s="8"/>
      <c r="O19" s="8">
        <v>0.7</v>
      </c>
      <c r="P19" s="8">
        <v>0.50673553930000004</v>
      </c>
      <c r="Q19" s="5">
        <v>0.39574313249999998</v>
      </c>
      <c r="R19" s="5"/>
      <c r="S19" s="8"/>
      <c r="T19" s="8"/>
      <c r="U19" s="14">
        <v>5.5511179345999997</v>
      </c>
      <c r="V19" s="14">
        <v>4.0679448428000002</v>
      </c>
    </row>
    <row r="20" spans="1:22" ht="15.75">
      <c r="A20" s="3">
        <v>493</v>
      </c>
      <c r="B20" s="4" t="s">
        <v>11</v>
      </c>
      <c r="C20" s="5">
        <v>1.5069301773999999</v>
      </c>
      <c r="D20" s="6">
        <v>0.81092266000000002</v>
      </c>
      <c r="E20" s="6">
        <v>0.38811711799999998</v>
      </c>
      <c r="F20" s="6">
        <v>0</v>
      </c>
      <c r="G20" s="6">
        <v>0.28413331380000001</v>
      </c>
      <c r="H20" s="5">
        <v>0.54247130560000001</v>
      </c>
      <c r="I20" s="5">
        <v>2.4949369499999999E-2</v>
      </c>
      <c r="J20" s="5">
        <v>0.39111531849999998</v>
      </c>
      <c r="K20" s="5"/>
      <c r="L20" s="5">
        <v>9.1606800399999994E-2</v>
      </c>
      <c r="M20" s="5">
        <v>1.49533818E-2</v>
      </c>
      <c r="N20" s="5">
        <v>0.41</v>
      </c>
      <c r="O20" s="5">
        <v>0.7</v>
      </c>
      <c r="P20" s="5">
        <v>0.50673553930000004</v>
      </c>
      <c r="Q20" s="5">
        <v>0.39574313249999998</v>
      </c>
      <c r="R20" s="5">
        <v>0.27831752729999998</v>
      </c>
      <c r="S20" s="8"/>
      <c r="T20" s="8"/>
      <c r="U20" s="14">
        <v>6.3459956441000003</v>
      </c>
      <c r="V20" s="14">
        <v>4.8628225522999999</v>
      </c>
    </row>
    <row r="21" spans="1:22" ht="15.75">
      <c r="A21" s="3">
        <v>494</v>
      </c>
      <c r="B21" s="4" t="s">
        <v>86</v>
      </c>
      <c r="C21" s="5">
        <v>1.5069301773999999</v>
      </c>
      <c r="D21" s="6">
        <v>0.81092266000000002</v>
      </c>
      <c r="E21" s="6">
        <v>0.38811711799999998</v>
      </c>
      <c r="F21" s="6">
        <v>0</v>
      </c>
      <c r="G21" s="6">
        <v>0.28413331380000001</v>
      </c>
      <c r="H21" s="5">
        <v>0.54247130560000001</v>
      </c>
      <c r="I21" s="5">
        <v>2.4949369499999999E-2</v>
      </c>
      <c r="J21" s="5">
        <v>0.39111531849999998</v>
      </c>
      <c r="K21" s="5"/>
      <c r="L21" s="5"/>
      <c r="M21" s="8"/>
      <c r="N21" s="8"/>
      <c r="O21" s="8">
        <v>0.7</v>
      </c>
      <c r="P21" s="8">
        <v>0.50673553930000004</v>
      </c>
      <c r="Q21" s="5">
        <v>0.39574313249999998</v>
      </c>
      <c r="R21" s="5"/>
      <c r="S21" s="8"/>
      <c r="T21" s="8"/>
      <c r="U21" s="14">
        <v>5.5511179345999997</v>
      </c>
      <c r="V21" s="14">
        <v>4.0679448428000002</v>
      </c>
    </row>
    <row r="22" spans="1:22" ht="15.75">
      <c r="A22" s="3">
        <v>495</v>
      </c>
      <c r="B22" s="4" t="s">
        <v>49</v>
      </c>
      <c r="C22" s="5">
        <v>1.5069301773999999</v>
      </c>
      <c r="D22" s="6">
        <v>0.81092266000000002</v>
      </c>
      <c r="E22" s="6">
        <v>0.38811711799999998</v>
      </c>
      <c r="F22" s="6">
        <v>0</v>
      </c>
      <c r="G22" s="6">
        <v>0.28413331380000001</v>
      </c>
      <c r="H22" s="5">
        <v>0.54247130560000001</v>
      </c>
      <c r="I22" s="5">
        <v>2.4949369499999999E-2</v>
      </c>
      <c r="J22" s="5">
        <v>0.39111531849999998</v>
      </c>
      <c r="K22" s="5"/>
      <c r="L22" s="5">
        <v>9.1606800399999994E-2</v>
      </c>
      <c r="M22" s="5">
        <v>1.49533818E-2</v>
      </c>
      <c r="N22" s="5">
        <v>0.41</v>
      </c>
      <c r="O22" s="5">
        <v>0.7</v>
      </c>
      <c r="P22" s="5">
        <v>0.50673553930000004</v>
      </c>
      <c r="Q22" s="5">
        <v>0.39574313249999998</v>
      </c>
      <c r="R22" s="5">
        <v>0.27831752729999998</v>
      </c>
      <c r="S22" s="8"/>
      <c r="T22" s="8"/>
      <c r="U22" s="14">
        <v>6.3459956441000003</v>
      </c>
      <c r="V22" s="14">
        <v>4.8628225522999999</v>
      </c>
    </row>
    <row r="23" spans="1:22" ht="15.75">
      <c r="A23" s="3">
        <v>497</v>
      </c>
      <c r="B23" s="4" t="s">
        <v>87</v>
      </c>
      <c r="C23" s="5">
        <v>1.5069301773999999</v>
      </c>
      <c r="D23" s="6">
        <v>0.81092266000000002</v>
      </c>
      <c r="E23" s="6">
        <v>0.38811711799999998</v>
      </c>
      <c r="F23" s="6">
        <v>0</v>
      </c>
      <c r="G23" s="6">
        <v>0.28413331380000001</v>
      </c>
      <c r="H23" s="5">
        <v>0.54247130560000001</v>
      </c>
      <c r="I23" s="5">
        <v>2.4949369499999999E-2</v>
      </c>
      <c r="J23" s="5">
        <v>0.39111531849999998</v>
      </c>
      <c r="K23" s="5"/>
      <c r="L23" s="5"/>
      <c r="M23" s="8"/>
      <c r="N23" s="8"/>
      <c r="O23" s="8">
        <v>0.7</v>
      </c>
      <c r="P23" s="8">
        <v>0.50673553930000004</v>
      </c>
      <c r="Q23" s="5">
        <v>0.39574313249999998</v>
      </c>
      <c r="R23" s="5"/>
      <c r="S23" s="8"/>
      <c r="T23" s="8"/>
      <c r="U23" s="14">
        <v>5.5511179345999997</v>
      </c>
      <c r="V23" s="14">
        <v>4.0679448428000002</v>
      </c>
    </row>
    <row r="24" spans="1:22" ht="15.75">
      <c r="A24" s="3">
        <v>498</v>
      </c>
      <c r="B24" s="4" t="s">
        <v>50</v>
      </c>
      <c r="C24" s="5">
        <v>1.5069301773999999</v>
      </c>
      <c r="D24" s="6">
        <v>0.81092266000000002</v>
      </c>
      <c r="E24" s="6">
        <v>0.38811711799999998</v>
      </c>
      <c r="F24" s="6">
        <v>0</v>
      </c>
      <c r="G24" s="6">
        <v>0.28413331380000001</v>
      </c>
      <c r="H24" s="5">
        <v>0.54247130560000001</v>
      </c>
      <c r="I24" s="5">
        <v>2.4949369499999999E-2</v>
      </c>
      <c r="J24" s="5">
        <v>0.39111531849999998</v>
      </c>
      <c r="K24" s="5"/>
      <c r="L24" s="5">
        <v>9.1606800399999994E-2</v>
      </c>
      <c r="M24" s="5">
        <v>1.49533818E-2</v>
      </c>
      <c r="N24" s="5">
        <v>0.41</v>
      </c>
      <c r="O24" s="5">
        <v>0.7</v>
      </c>
      <c r="P24" s="5">
        <v>0.50673553930000004</v>
      </c>
      <c r="Q24" s="5">
        <v>0.39574313249999998</v>
      </c>
      <c r="R24" s="5">
        <v>0.27831752729999998</v>
      </c>
      <c r="S24" s="8"/>
      <c r="T24" s="8"/>
      <c r="U24" s="14">
        <v>6.3459956441000003</v>
      </c>
      <c r="V24" s="14">
        <v>4.8628225522999999</v>
      </c>
    </row>
    <row r="25" spans="1:22" ht="15.75">
      <c r="A25" s="3">
        <v>499</v>
      </c>
      <c r="B25" s="4" t="s">
        <v>51</v>
      </c>
      <c r="C25" s="5">
        <v>1.5069301773999999</v>
      </c>
      <c r="D25" s="6">
        <v>0.81092266000000002</v>
      </c>
      <c r="E25" s="6">
        <v>0.38811711799999998</v>
      </c>
      <c r="F25" s="6">
        <v>0</v>
      </c>
      <c r="G25" s="6">
        <v>0.28413331380000001</v>
      </c>
      <c r="H25" s="5">
        <v>0.54247130560000001</v>
      </c>
      <c r="I25" s="5">
        <v>2.4949369499999999E-2</v>
      </c>
      <c r="J25" s="5">
        <v>0.39111531849999998</v>
      </c>
      <c r="K25" s="5"/>
      <c r="L25" s="5">
        <v>9.1606800399999994E-2</v>
      </c>
      <c r="M25" s="5">
        <v>1.49533818E-2</v>
      </c>
      <c r="N25" s="5">
        <v>0.41</v>
      </c>
      <c r="O25" s="5">
        <v>0.7</v>
      </c>
      <c r="P25" s="5">
        <v>0.50673553930000004</v>
      </c>
      <c r="Q25" s="5">
        <v>0.39574313249999998</v>
      </c>
      <c r="R25" s="5">
        <v>0.27831752729999998</v>
      </c>
      <c r="S25" s="8"/>
      <c r="T25" s="8"/>
      <c r="U25" s="14">
        <v>6.3459956441000003</v>
      </c>
      <c r="V25" s="14">
        <v>4.8628225522999999</v>
      </c>
    </row>
    <row r="26" spans="1:22" ht="33">
      <c r="A26" s="12">
        <v>1</v>
      </c>
      <c r="B26" s="12">
        <f>A26+1</f>
        <v>2</v>
      </c>
      <c r="C26" s="12">
        <f t="shared" ref="C26:R26" si="0">B26+1</f>
        <v>3</v>
      </c>
      <c r="D26" s="12">
        <f t="shared" si="0"/>
        <v>4</v>
      </c>
      <c r="E26" s="12">
        <f t="shared" si="0"/>
        <v>5</v>
      </c>
      <c r="F26" s="12">
        <f t="shared" si="0"/>
        <v>6</v>
      </c>
      <c r="G26" s="12">
        <f t="shared" si="0"/>
        <v>7</v>
      </c>
      <c r="H26" s="12">
        <f t="shared" si="0"/>
        <v>8</v>
      </c>
      <c r="I26" s="12">
        <f t="shared" si="0"/>
        <v>9</v>
      </c>
      <c r="J26" s="12">
        <f t="shared" si="0"/>
        <v>10</v>
      </c>
      <c r="K26" s="12">
        <f t="shared" si="0"/>
        <v>11</v>
      </c>
      <c r="L26" s="12">
        <f t="shared" si="0"/>
        <v>12</v>
      </c>
      <c r="M26" s="12">
        <f t="shared" si="0"/>
        <v>13</v>
      </c>
      <c r="N26" s="12">
        <f t="shared" si="0"/>
        <v>14</v>
      </c>
      <c r="O26" s="12">
        <f t="shared" si="0"/>
        <v>15</v>
      </c>
      <c r="P26" s="12">
        <f t="shared" si="0"/>
        <v>16</v>
      </c>
      <c r="Q26" s="12">
        <f t="shared" si="0"/>
        <v>17</v>
      </c>
      <c r="R26" s="12">
        <f t="shared" si="0"/>
        <v>18</v>
      </c>
      <c r="S26" s="12">
        <f>R26+1</f>
        <v>19</v>
      </c>
      <c r="T26" s="12">
        <f>S26+1</f>
        <v>20</v>
      </c>
      <c r="U26" s="12">
        <v>21</v>
      </c>
      <c r="V26" s="12">
        <v>22</v>
      </c>
    </row>
    <row r="27" spans="1:22">
      <c r="G27" s="1"/>
    </row>
    <row r="31" spans="1:22">
      <c r="D31" s="10"/>
      <c r="E31" s="11" t="s">
        <v>52</v>
      </c>
      <c r="F31" s="9"/>
      <c r="G31" s="9"/>
      <c r="H31" s="9"/>
      <c r="I31" s="9"/>
      <c r="J31" s="9"/>
      <c r="K31" s="9"/>
    </row>
  </sheetData>
  <mergeCells count="24">
    <mergeCell ref="T3:T5"/>
    <mergeCell ref="M3:M5"/>
    <mergeCell ref="A3:A5"/>
    <mergeCell ref="B3:B5"/>
    <mergeCell ref="C3:C5"/>
    <mergeCell ref="D3:D5"/>
    <mergeCell ref="E3:E5"/>
    <mergeCell ref="G3:G5"/>
    <mergeCell ref="A1:V1"/>
    <mergeCell ref="A2:S2"/>
    <mergeCell ref="F3:F5"/>
    <mergeCell ref="U3:U5"/>
    <mergeCell ref="V3:V5"/>
    <mergeCell ref="N3:N5"/>
    <mergeCell ref="O3:O5"/>
    <mergeCell ref="P3:P5"/>
    <mergeCell ref="Q3:Q5"/>
    <mergeCell ref="R3:R5"/>
    <mergeCell ref="S3:S5"/>
    <mergeCell ref="H3:H5"/>
    <mergeCell ref="I3:I5"/>
    <mergeCell ref="J3:J5"/>
    <mergeCell ref="K3:K5"/>
    <mergeCell ref="L3:L5"/>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E4FBE-62CF-497B-99E1-100C85FEB8A5}">
  <dimension ref="A1:T31"/>
  <sheetViews>
    <sheetView workbookViewId="0">
      <selection sqref="A1:XFD1"/>
    </sheetView>
  </sheetViews>
  <sheetFormatPr defaultRowHeight="15"/>
  <cols>
    <col min="1" max="1" width="15.7109375" bestFit="1" customWidth="1"/>
    <col min="2" max="2" width="18.5703125" bestFit="1" customWidth="1"/>
    <col min="3" max="3" width="24.42578125" bestFit="1" customWidth="1"/>
    <col min="4" max="4" width="26.7109375" bestFit="1" customWidth="1"/>
    <col min="5" max="5" width="28.7109375" bestFit="1" customWidth="1"/>
    <col min="6" max="6" width="30.5703125" customWidth="1"/>
    <col min="7" max="7" width="28.42578125" customWidth="1"/>
    <col min="8" max="8" width="17" bestFit="1" customWidth="1"/>
    <col min="9" max="9" width="15.28515625" bestFit="1" customWidth="1"/>
    <col min="10" max="10" width="17.42578125" customWidth="1"/>
    <col min="11" max="13" width="18.5703125" bestFit="1" customWidth="1"/>
    <col min="14" max="15" width="33.85546875" customWidth="1"/>
    <col min="16" max="16" width="34.42578125" customWidth="1"/>
    <col min="17" max="17" width="17" bestFit="1" customWidth="1"/>
    <col min="18" max="18" width="18.5703125" bestFit="1" customWidth="1"/>
    <col min="19" max="19" width="14.7109375" bestFit="1" customWidth="1"/>
    <col min="20" max="20" width="30.7109375" customWidth="1"/>
  </cols>
  <sheetData>
    <row r="1" spans="1:20" s="2" customFormat="1" ht="54" customHeight="1">
      <c r="A1" s="143" t="s">
        <v>89</v>
      </c>
      <c r="B1" s="144"/>
      <c r="C1" s="144"/>
      <c r="D1" s="144"/>
      <c r="E1" s="144"/>
      <c r="F1" s="144"/>
      <c r="G1" s="144"/>
      <c r="H1" s="144"/>
      <c r="I1" s="144"/>
      <c r="J1" s="144"/>
      <c r="K1" s="144"/>
      <c r="L1" s="144"/>
      <c r="M1" s="144"/>
      <c r="N1" s="144"/>
      <c r="O1" s="144"/>
      <c r="P1" s="144"/>
      <c r="Q1" s="144"/>
      <c r="R1" s="144"/>
      <c r="S1" s="144"/>
      <c r="T1" s="144"/>
    </row>
    <row r="2" spans="1:20" ht="33">
      <c r="A2" s="145" t="s">
        <v>107</v>
      </c>
      <c r="B2" s="145"/>
      <c r="C2" s="145"/>
      <c r="D2" s="145"/>
      <c r="E2" s="145"/>
      <c r="F2" s="145"/>
      <c r="G2" s="145"/>
      <c r="H2" s="145"/>
      <c r="I2" s="145"/>
      <c r="J2" s="145"/>
      <c r="K2" s="145"/>
      <c r="L2" s="145"/>
      <c r="M2" s="145"/>
      <c r="N2" s="145"/>
      <c r="O2" s="145"/>
      <c r="P2" s="145"/>
      <c r="Q2" s="145"/>
      <c r="R2" s="145"/>
      <c r="S2" s="145"/>
      <c r="T2" s="145"/>
    </row>
    <row r="3" spans="1:20" ht="14.45" customHeight="1">
      <c r="A3" s="146" t="s">
        <v>32</v>
      </c>
      <c r="B3" s="149" t="s">
        <v>33</v>
      </c>
      <c r="C3" s="140" t="s">
        <v>34</v>
      </c>
      <c r="D3" s="140" t="s">
        <v>12</v>
      </c>
      <c r="E3" s="140" t="s">
        <v>35</v>
      </c>
      <c r="F3" s="140" t="s">
        <v>53</v>
      </c>
      <c r="G3" s="140" t="s">
        <v>54</v>
      </c>
      <c r="H3" s="140" t="s">
        <v>75</v>
      </c>
      <c r="I3" s="140" t="s">
        <v>76</v>
      </c>
      <c r="J3" s="140" t="s">
        <v>77</v>
      </c>
      <c r="K3" s="140" t="s">
        <v>36</v>
      </c>
      <c r="L3" s="140" t="s">
        <v>78</v>
      </c>
      <c r="M3" s="140" t="s">
        <v>79</v>
      </c>
      <c r="N3" s="140" t="s">
        <v>80</v>
      </c>
      <c r="O3" s="140" t="s">
        <v>81</v>
      </c>
      <c r="P3" s="140" t="s">
        <v>117</v>
      </c>
      <c r="Q3" s="140" t="s">
        <v>82</v>
      </c>
      <c r="R3" s="140" t="s">
        <v>18</v>
      </c>
      <c r="S3" s="140" t="s">
        <v>83</v>
      </c>
      <c r="T3" s="140" t="s">
        <v>37</v>
      </c>
    </row>
    <row r="4" spans="1:20">
      <c r="A4" s="147"/>
      <c r="B4" s="150"/>
      <c r="C4" s="141"/>
      <c r="D4" s="141"/>
      <c r="E4" s="141"/>
      <c r="F4" s="141"/>
      <c r="G4" s="141"/>
      <c r="H4" s="141"/>
      <c r="I4" s="141"/>
      <c r="J4" s="141"/>
      <c r="K4" s="141"/>
      <c r="L4" s="141"/>
      <c r="M4" s="141"/>
      <c r="N4" s="141"/>
      <c r="O4" s="141"/>
      <c r="P4" s="141"/>
      <c r="Q4" s="141"/>
      <c r="R4" s="141"/>
      <c r="S4" s="141"/>
      <c r="T4" s="141"/>
    </row>
    <row r="5" spans="1:20">
      <c r="A5" s="148"/>
      <c r="B5" s="151"/>
      <c r="C5" s="142"/>
      <c r="D5" s="142"/>
      <c r="E5" s="142"/>
      <c r="F5" s="142"/>
      <c r="G5" s="142"/>
      <c r="H5" s="142"/>
      <c r="I5" s="142"/>
      <c r="J5" s="142"/>
      <c r="K5" s="142"/>
      <c r="L5" s="142"/>
      <c r="M5" s="142"/>
      <c r="N5" s="142"/>
      <c r="O5" s="142"/>
      <c r="P5" s="142"/>
      <c r="Q5" s="142"/>
      <c r="R5" s="142"/>
      <c r="S5" s="142"/>
      <c r="T5" s="142"/>
    </row>
    <row r="6" spans="1:20" ht="15.75">
      <c r="A6" s="3">
        <v>101</v>
      </c>
      <c r="B6" s="4" t="s">
        <v>30</v>
      </c>
      <c r="C6" s="5"/>
      <c r="D6" s="6"/>
      <c r="E6" s="6"/>
      <c r="F6" s="7"/>
      <c r="G6" s="7"/>
      <c r="H6" s="5"/>
      <c r="I6" s="5"/>
      <c r="J6" s="5"/>
      <c r="K6" s="5"/>
      <c r="L6" s="5"/>
      <c r="M6" s="8"/>
      <c r="N6" s="8"/>
      <c r="O6" s="8"/>
      <c r="P6" s="8"/>
      <c r="Q6" s="8"/>
      <c r="R6" s="8"/>
      <c r="S6" s="8"/>
      <c r="T6" s="8"/>
    </row>
    <row r="7" spans="1:20" ht="15.75">
      <c r="A7" s="3">
        <v>211</v>
      </c>
      <c r="B7" s="4" t="s">
        <v>40</v>
      </c>
      <c r="C7" s="5"/>
      <c r="D7" s="6"/>
      <c r="E7" s="6" t="s">
        <v>122</v>
      </c>
      <c r="F7" s="6"/>
      <c r="G7" s="6" t="s">
        <v>122</v>
      </c>
      <c r="H7" s="5"/>
      <c r="I7" s="5"/>
      <c r="J7" s="5"/>
      <c r="K7" s="5"/>
      <c r="L7" s="8"/>
      <c r="M7" s="8"/>
      <c r="N7" s="8"/>
      <c r="O7" s="8"/>
      <c r="P7" s="8" t="s">
        <v>84</v>
      </c>
      <c r="Q7" s="8"/>
      <c r="R7" s="8"/>
      <c r="S7" s="8"/>
      <c r="T7" s="8"/>
    </row>
    <row r="8" spans="1:20" ht="15.75">
      <c r="A8" s="3">
        <v>372</v>
      </c>
      <c r="B8" s="4" t="s">
        <v>41</v>
      </c>
      <c r="C8" s="5"/>
      <c r="D8" s="6"/>
      <c r="E8" s="6" t="s">
        <v>122</v>
      </c>
      <c r="F8" s="6"/>
      <c r="G8" s="6" t="s">
        <v>122</v>
      </c>
      <c r="H8" s="5"/>
      <c r="I8" s="5"/>
      <c r="J8" s="5"/>
      <c r="K8" s="5"/>
      <c r="L8" s="8"/>
      <c r="M8" s="8"/>
      <c r="N8" s="8"/>
      <c r="O8" s="8"/>
      <c r="P8" s="8"/>
      <c r="Q8" s="8"/>
      <c r="R8" s="8"/>
      <c r="S8" s="8"/>
      <c r="T8" s="8"/>
    </row>
    <row r="9" spans="1:20" ht="15.75">
      <c r="A9" s="3">
        <v>373</v>
      </c>
      <c r="B9" s="4" t="s">
        <v>14</v>
      </c>
      <c r="C9" s="5"/>
      <c r="D9" s="6"/>
      <c r="E9" s="6" t="s">
        <v>122</v>
      </c>
      <c r="F9" s="6"/>
      <c r="G9" s="6" t="s">
        <v>122</v>
      </c>
      <c r="H9" s="5"/>
      <c r="I9" s="5"/>
      <c r="J9" s="5"/>
      <c r="K9" s="5"/>
      <c r="L9" s="5" t="s">
        <v>109</v>
      </c>
      <c r="M9" s="5"/>
      <c r="N9" s="5" t="s">
        <v>122</v>
      </c>
      <c r="O9" s="5"/>
      <c r="P9" s="6" t="s">
        <v>122</v>
      </c>
      <c r="Q9" s="5" t="s">
        <v>122</v>
      </c>
      <c r="R9" s="5"/>
      <c r="S9" s="5" t="s">
        <v>109</v>
      </c>
      <c r="T9" s="8"/>
    </row>
    <row r="10" spans="1:20" ht="15.75">
      <c r="A10" s="3">
        <v>374</v>
      </c>
      <c r="B10" s="4" t="s">
        <v>42</v>
      </c>
      <c r="C10" s="5"/>
      <c r="D10" s="6"/>
      <c r="E10" s="6" t="s">
        <v>122</v>
      </c>
      <c r="F10" s="6"/>
      <c r="G10" s="6" t="s">
        <v>122</v>
      </c>
      <c r="H10" s="5"/>
      <c r="I10" s="5"/>
      <c r="J10" s="5"/>
      <c r="K10" s="5"/>
      <c r="L10" s="5" t="s">
        <v>109</v>
      </c>
      <c r="M10" s="5" t="s">
        <v>109</v>
      </c>
      <c r="N10" s="5" t="s">
        <v>122</v>
      </c>
      <c r="O10" s="5"/>
      <c r="P10" s="6" t="s">
        <v>122</v>
      </c>
      <c r="Q10" s="5" t="s">
        <v>122</v>
      </c>
      <c r="R10" s="5"/>
      <c r="S10" s="5" t="s">
        <v>109</v>
      </c>
      <c r="T10" s="8"/>
    </row>
    <row r="11" spans="1:20" ht="15.75">
      <c r="A11" s="3">
        <v>375</v>
      </c>
      <c r="B11" s="4" t="s">
        <v>43</v>
      </c>
      <c r="C11" s="5"/>
      <c r="D11" s="6"/>
      <c r="E11" s="6" t="s">
        <v>122</v>
      </c>
      <c r="F11" s="6"/>
      <c r="G11" s="6" t="s">
        <v>122</v>
      </c>
      <c r="H11" s="5"/>
      <c r="I11" s="5"/>
      <c r="J11" s="5"/>
      <c r="K11" s="5"/>
      <c r="L11" s="5"/>
      <c r="M11" s="5"/>
      <c r="N11" s="5"/>
      <c r="O11" s="5"/>
      <c r="P11" s="5"/>
      <c r="Q11" s="5" t="s">
        <v>122</v>
      </c>
      <c r="R11" s="5"/>
      <c r="S11" s="5"/>
      <c r="T11" s="8"/>
    </row>
    <row r="12" spans="1:20" ht="15.75">
      <c r="A12" s="3">
        <v>441</v>
      </c>
      <c r="B12" s="4" t="s">
        <v>44</v>
      </c>
      <c r="C12" s="5"/>
      <c r="D12" s="6"/>
      <c r="E12" s="6" t="s">
        <v>122</v>
      </c>
      <c r="F12" s="6"/>
      <c r="G12" s="6" t="s">
        <v>122</v>
      </c>
      <c r="H12" s="5"/>
      <c r="I12" s="5"/>
      <c r="J12" s="5"/>
      <c r="K12" s="5"/>
      <c r="L12" s="5"/>
      <c r="M12" s="5"/>
      <c r="N12" s="5"/>
      <c r="O12" s="5"/>
      <c r="P12" s="5"/>
      <c r="Q12" s="5"/>
      <c r="R12" s="5"/>
      <c r="S12" s="5"/>
      <c r="T12" s="5"/>
    </row>
    <row r="13" spans="1:20" ht="15.75">
      <c r="A13" s="3">
        <v>442</v>
      </c>
      <c r="B13" s="4" t="s">
        <v>15</v>
      </c>
      <c r="C13" s="5"/>
      <c r="D13" s="6"/>
      <c r="E13" s="6"/>
      <c r="F13" s="6"/>
      <c r="G13" s="6" t="s">
        <v>122</v>
      </c>
      <c r="H13" s="5"/>
      <c r="I13" s="5"/>
      <c r="J13" s="5"/>
      <c r="K13" s="5"/>
      <c r="L13" s="5"/>
      <c r="M13" s="5"/>
      <c r="N13" s="5" t="s">
        <v>122</v>
      </c>
      <c r="O13" s="5"/>
      <c r="P13" s="5"/>
      <c r="Q13" s="5" t="s">
        <v>109</v>
      </c>
      <c r="R13" s="5"/>
      <c r="S13" s="5"/>
      <c r="T13" s="6" t="s">
        <v>122</v>
      </c>
    </row>
    <row r="14" spans="1:20" ht="15.75">
      <c r="A14" s="3">
        <v>443</v>
      </c>
      <c r="B14" s="4" t="s">
        <v>45</v>
      </c>
      <c r="C14" s="5"/>
      <c r="D14" s="6"/>
      <c r="E14" s="6"/>
      <c r="F14" s="6"/>
      <c r="G14" s="6" t="s">
        <v>122</v>
      </c>
      <c r="H14" s="5"/>
      <c r="I14" s="5"/>
      <c r="J14" s="5"/>
      <c r="K14" s="5"/>
      <c r="L14" s="8"/>
      <c r="M14" s="8"/>
      <c r="N14" s="8"/>
      <c r="O14" s="8"/>
      <c r="P14" s="8"/>
      <c r="Q14" s="8"/>
      <c r="R14" s="5"/>
      <c r="S14" s="5"/>
      <c r="T14" s="8"/>
    </row>
    <row r="15" spans="1:20" ht="15.75">
      <c r="A15" s="3">
        <v>444</v>
      </c>
      <c r="B15" s="4" t="s">
        <v>46</v>
      </c>
      <c r="C15" s="5"/>
      <c r="D15" s="6"/>
      <c r="E15" s="6"/>
      <c r="F15" s="6"/>
      <c r="G15" s="6" t="s">
        <v>122</v>
      </c>
      <c r="H15" s="5"/>
      <c r="I15" s="5"/>
      <c r="J15" s="5"/>
      <c r="K15" s="5"/>
      <c r="L15" s="8"/>
      <c r="M15" s="8"/>
      <c r="N15" s="8"/>
      <c r="O15" s="8"/>
      <c r="P15" s="8"/>
      <c r="Q15" s="8"/>
      <c r="R15" s="5"/>
      <c r="S15" s="5"/>
      <c r="T15" s="8"/>
    </row>
    <row r="16" spans="1:20" ht="15.75">
      <c r="A16" s="3">
        <v>445</v>
      </c>
      <c r="B16" s="4" t="s">
        <v>47</v>
      </c>
      <c r="C16" s="5"/>
      <c r="D16" s="6"/>
      <c r="E16" s="6"/>
      <c r="F16" s="6"/>
      <c r="G16" s="6"/>
      <c r="H16" s="5"/>
      <c r="I16" s="5"/>
      <c r="J16" s="5"/>
      <c r="K16" s="5"/>
      <c r="L16" s="5"/>
      <c r="M16" s="5"/>
      <c r="N16" s="5" t="s">
        <v>122</v>
      </c>
      <c r="O16" s="5"/>
      <c r="P16" s="5"/>
      <c r="Q16" s="5" t="s">
        <v>109</v>
      </c>
      <c r="R16" s="5"/>
      <c r="S16" s="5"/>
      <c r="T16" s="6" t="s">
        <v>122</v>
      </c>
    </row>
    <row r="17" spans="1:20" ht="15.75">
      <c r="A17" s="3">
        <v>490</v>
      </c>
      <c r="B17" s="4" t="s">
        <v>16</v>
      </c>
      <c r="C17" s="5"/>
      <c r="D17" s="6"/>
      <c r="E17" s="6"/>
      <c r="F17" s="6"/>
      <c r="G17" s="6"/>
      <c r="H17" s="5"/>
      <c r="I17" s="5"/>
      <c r="J17" s="5"/>
      <c r="K17" s="5"/>
      <c r="L17" s="5"/>
      <c r="M17" s="5"/>
      <c r="N17" s="5" t="s">
        <v>122</v>
      </c>
      <c r="O17" s="5"/>
      <c r="P17" s="5"/>
      <c r="Q17" s="5" t="s">
        <v>122</v>
      </c>
      <c r="R17" s="5"/>
      <c r="S17" s="5"/>
      <c r="T17" s="8"/>
    </row>
    <row r="18" spans="1:20" ht="15.75">
      <c r="A18" s="3">
        <v>491</v>
      </c>
      <c r="B18" s="4" t="s">
        <v>85</v>
      </c>
      <c r="C18" s="5"/>
      <c r="D18" s="6"/>
      <c r="E18" s="6"/>
      <c r="F18" s="6"/>
      <c r="G18" s="6"/>
      <c r="H18" s="5"/>
      <c r="I18" s="5"/>
      <c r="J18" s="5"/>
      <c r="K18" s="5"/>
      <c r="L18" s="5"/>
      <c r="M18" s="8"/>
      <c r="N18" s="8"/>
      <c r="O18" s="8"/>
      <c r="P18" s="5"/>
      <c r="Q18" s="5" t="s">
        <v>122</v>
      </c>
      <c r="R18" s="5"/>
      <c r="S18" s="5"/>
      <c r="T18" s="8"/>
    </row>
    <row r="19" spans="1:20" ht="15.75">
      <c r="A19" s="3">
        <v>492</v>
      </c>
      <c r="B19" s="4" t="s">
        <v>48</v>
      </c>
      <c r="C19" s="5"/>
      <c r="D19" s="6"/>
      <c r="E19" s="6"/>
      <c r="F19" s="6"/>
      <c r="G19" s="6"/>
      <c r="H19" s="5"/>
      <c r="I19" s="5"/>
      <c r="J19" s="5"/>
      <c r="K19" s="5"/>
      <c r="L19" s="5"/>
      <c r="M19" s="8"/>
      <c r="N19" s="8"/>
      <c r="O19" s="8"/>
      <c r="P19" s="5"/>
      <c r="Q19" s="5" t="s">
        <v>122</v>
      </c>
      <c r="R19" s="5"/>
      <c r="S19" s="5"/>
      <c r="T19" s="8"/>
    </row>
    <row r="20" spans="1:20" ht="15.75">
      <c r="A20" s="3">
        <v>493</v>
      </c>
      <c r="B20" s="4" t="s">
        <v>11</v>
      </c>
      <c r="C20" s="5"/>
      <c r="D20" s="6"/>
      <c r="E20" s="6"/>
      <c r="F20" s="6"/>
      <c r="G20" s="6"/>
      <c r="H20" s="5"/>
      <c r="I20" s="5"/>
      <c r="J20" s="5"/>
      <c r="K20" s="5"/>
      <c r="L20" s="5"/>
      <c r="M20" s="5"/>
      <c r="N20" s="5" t="s">
        <v>122</v>
      </c>
      <c r="O20" s="5"/>
      <c r="P20" s="5"/>
      <c r="Q20" s="5" t="s">
        <v>122</v>
      </c>
      <c r="R20" s="5"/>
      <c r="S20" s="5"/>
      <c r="T20" s="8"/>
    </row>
    <row r="21" spans="1:20" ht="15.75">
      <c r="A21" s="3">
        <v>494</v>
      </c>
      <c r="B21" s="4" t="s">
        <v>86</v>
      </c>
      <c r="C21" s="5"/>
      <c r="D21" s="6"/>
      <c r="E21" s="6"/>
      <c r="F21" s="6"/>
      <c r="G21" s="6"/>
      <c r="H21" s="5"/>
      <c r="I21" s="5"/>
      <c r="J21" s="5"/>
      <c r="K21" s="5"/>
      <c r="L21" s="5"/>
      <c r="M21" s="8"/>
      <c r="N21" s="8"/>
      <c r="O21" s="8"/>
      <c r="P21" s="5"/>
      <c r="Q21" s="5" t="s">
        <v>122</v>
      </c>
      <c r="R21" s="5"/>
      <c r="S21" s="5"/>
      <c r="T21" s="8"/>
    </row>
    <row r="22" spans="1:20" ht="15.75">
      <c r="A22" s="3">
        <v>495</v>
      </c>
      <c r="B22" s="4" t="s">
        <v>49</v>
      </c>
      <c r="C22" s="5"/>
      <c r="D22" s="6"/>
      <c r="E22" s="6"/>
      <c r="F22" s="6"/>
      <c r="G22" s="6"/>
      <c r="H22" s="5"/>
      <c r="I22" s="5"/>
      <c r="J22" s="5"/>
      <c r="K22" s="5"/>
      <c r="L22" s="5"/>
      <c r="M22" s="5"/>
      <c r="N22" s="5" t="s">
        <v>122</v>
      </c>
      <c r="O22" s="5"/>
      <c r="P22" s="5"/>
      <c r="Q22" s="5" t="s">
        <v>122</v>
      </c>
      <c r="R22" s="5"/>
      <c r="S22" s="5"/>
      <c r="T22" s="8"/>
    </row>
    <row r="23" spans="1:20" ht="15.75">
      <c r="A23" s="3">
        <v>497</v>
      </c>
      <c r="B23" s="4" t="s">
        <v>87</v>
      </c>
      <c r="C23" s="5"/>
      <c r="D23" s="6"/>
      <c r="E23" s="6"/>
      <c r="F23" s="6"/>
      <c r="G23" s="6"/>
      <c r="H23" s="5"/>
      <c r="I23" s="5"/>
      <c r="J23" s="5"/>
      <c r="K23" s="5"/>
      <c r="L23" s="5"/>
      <c r="M23" s="8"/>
      <c r="N23" s="8"/>
      <c r="O23" s="8"/>
      <c r="P23" s="5"/>
      <c r="Q23" s="5" t="s">
        <v>122</v>
      </c>
      <c r="R23" s="5"/>
      <c r="S23" s="5"/>
      <c r="T23" s="8"/>
    </row>
    <row r="24" spans="1:20" ht="15.75">
      <c r="A24" s="3">
        <v>498</v>
      </c>
      <c r="B24" s="4" t="s">
        <v>50</v>
      </c>
      <c r="C24" s="5"/>
      <c r="D24" s="6"/>
      <c r="E24" s="6"/>
      <c r="F24" s="6"/>
      <c r="G24" s="6"/>
      <c r="H24" s="5"/>
      <c r="I24" s="5"/>
      <c r="J24" s="5"/>
      <c r="K24" s="5"/>
      <c r="L24" s="5"/>
      <c r="M24" s="5"/>
      <c r="N24" s="5" t="s">
        <v>122</v>
      </c>
      <c r="O24" s="5"/>
      <c r="P24" s="5"/>
      <c r="Q24" s="5" t="s">
        <v>122</v>
      </c>
      <c r="R24" s="5"/>
      <c r="S24" s="5"/>
      <c r="T24" s="8"/>
    </row>
    <row r="25" spans="1:20" ht="15.75">
      <c r="A25" s="3">
        <v>499</v>
      </c>
      <c r="B25" s="4" t="s">
        <v>51</v>
      </c>
      <c r="C25" s="5"/>
      <c r="D25" s="6"/>
      <c r="E25" s="6"/>
      <c r="F25" s="6"/>
      <c r="G25" s="6"/>
      <c r="H25" s="5"/>
      <c r="I25" s="5"/>
      <c r="J25" s="5"/>
      <c r="K25" s="5"/>
      <c r="L25" s="5"/>
      <c r="M25" s="5"/>
      <c r="N25" s="5" t="s">
        <v>122</v>
      </c>
      <c r="O25" s="5"/>
      <c r="P25" s="5"/>
      <c r="Q25" s="5" t="s">
        <v>122</v>
      </c>
      <c r="R25" s="5"/>
      <c r="S25" s="5"/>
      <c r="T25" s="8"/>
    </row>
    <row r="26" spans="1:20" ht="33">
      <c r="A26" s="12">
        <v>1</v>
      </c>
      <c r="B26" s="12">
        <f>A26+1</f>
        <v>2</v>
      </c>
      <c r="C26" s="12">
        <f t="shared" ref="C26:T26" si="0">B26+1</f>
        <v>3</v>
      </c>
      <c r="D26" s="12">
        <f t="shared" si="0"/>
        <v>4</v>
      </c>
      <c r="E26" s="12">
        <f t="shared" si="0"/>
        <v>5</v>
      </c>
      <c r="F26" s="12">
        <f t="shared" si="0"/>
        <v>6</v>
      </c>
      <c r="G26" s="12">
        <f t="shared" si="0"/>
        <v>7</v>
      </c>
      <c r="H26" s="12">
        <f t="shared" si="0"/>
        <v>8</v>
      </c>
      <c r="I26" s="12">
        <f t="shared" si="0"/>
        <v>9</v>
      </c>
      <c r="J26" s="12">
        <f t="shared" si="0"/>
        <v>10</v>
      </c>
      <c r="K26" s="12">
        <f t="shared" si="0"/>
        <v>11</v>
      </c>
      <c r="L26" s="12">
        <f t="shared" si="0"/>
        <v>12</v>
      </c>
      <c r="M26" s="12">
        <f t="shared" si="0"/>
        <v>13</v>
      </c>
      <c r="N26" s="12">
        <f t="shared" si="0"/>
        <v>14</v>
      </c>
      <c r="O26" s="12">
        <f t="shared" si="0"/>
        <v>15</v>
      </c>
      <c r="P26" s="12">
        <f t="shared" si="0"/>
        <v>16</v>
      </c>
      <c r="Q26" s="12">
        <f t="shared" si="0"/>
        <v>17</v>
      </c>
      <c r="R26" s="12">
        <f t="shared" si="0"/>
        <v>18</v>
      </c>
      <c r="S26" s="12">
        <f t="shared" si="0"/>
        <v>19</v>
      </c>
      <c r="T26" s="12">
        <f t="shared" si="0"/>
        <v>20</v>
      </c>
    </row>
    <row r="27" spans="1:20">
      <c r="G27" s="1"/>
    </row>
    <row r="31" spans="1:20">
      <c r="D31" s="10"/>
      <c r="E31" s="11" t="s">
        <v>52</v>
      </c>
      <c r="F31" s="9"/>
      <c r="G31" s="9"/>
      <c r="H31" s="9"/>
      <c r="I31" s="9"/>
      <c r="J31" s="9"/>
      <c r="K31" s="9"/>
    </row>
  </sheetData>
  <mergeCells count="22">
    <mergeCell ref="T3:T5"/>
    <mergeCell ref="N3:N5"/>
    <mergeCell ref="A1:T1"/>
    <mergeCell ref="A2:T2"/>
    <mergeCell ref="A3:A5"/>
    <mergeCell ref="B3:B5"/>
    <mergeCell ref="C3:C5"/>
    <mergeCell ref="D3:D5"/>
    <mergeCell ref="E3:E5"/>
    <mergeCell ref="F3:F5"/>
    <mergeCell ref="G3:G5"/>
    <mergeCell ref="H3:H5"/>
    <mergeCell ref="I3:I5"/>
    <mergeCell ref="J3:J5"/>
    <mergeCell ref="K3:K5"/>
    <mergeCell ref="S3:S5"/>
    <mergeCell ref="L3:L5"/>
    <mergeCell ref="O3:O5"/>
    <mergeCell ref="P3:P5"/>
    <mergeCell ref="Q3:Q5"/>
    <mergeCell ref="R3:R5"/>
    <mergeCell ref="M3:M5"/>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Year Over Year Change</vt:lpstr>
      <vt:lpstr>_TCA2026</vt:lpstr>
      <vt:lpstr>_TCA2025</vt:lpstr>
      <vt:lpstr>_TY2026_Increase</vt:lpstr>
      <vt:lpstr>_TY2026_Increase!_TCA2025</vt:lpstr>
      <vt:lpstr>_TCA2025</vt:lpstr>
      <vt:lpstr>_TCA2026</vt:lpstr>
      <vt:lpstr>_TY2026_Increase</vt:lpstr>
      <vt:lpstr>Print</vt:lpstr>
      <vt:lpstr>'Year Over Year Change'!Print_Area</vt:lpstr>
    </vt:vector>
  </TitlesOfParts>
  <Company>San Juan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Annie Minich</dc:creator>
  <cp:lastModifiedBy>Annie Minich</cp:lastModifiedBy>
  <cp:lastPrinted>2022-02-26T00:33:47Z</cp:lastPrinted>
  <dcterms:created xsi:type="dcterms:W3CDTF">2020-11-16T22:25:06Z</dcterms:created>
  <dcterms:modified xsi:type="dcterms:W3CDTF">2026-02-10T20:11:38Z</dcterms:modified>
</cp:coreProperties>
</file>